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design\power_supply\"/>
    </mc:Choice>
  </mc:AlternateContent>
  <xr:revisionPtr revIDLastSave="0" documentId="13_ncr:1_{E272678A-03C4-411A-A1FB-20AB38A9957D}"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96" yWindow="0" windowWidth="11700" windowHeight="13776"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438" i="29"/>
  <c r="N93" i="29"/>
  <c r="M153" i="29"/>
  <c r="M359" i="29"/>
  <c r="N589" i="29"/>
  <c r="N196" i="29"/>
  <c r="M560" i="29"/>
  <c r="M400" i="29"/>
  <c r="M241" i="29"/>
  <c r="N387" i="29"/>
  <c r="M341" i="29"/>
  <c r="M582" i="29"/>
  <c r="N380" i="29"/>
  <c r="M486" i="29"/>
  <c r="M193" i="29"/>
  <c r="N549" i="29"/>
  <c r="N476" i="29"/>
  <c r="M549" i="29"/>
  <c r="N340" i="29"/>
  <c r="N30" i="29"/>
  <c r="M506" i="29"/>
  <c r="M407" i="29"/>
  <c r="N470" i="29"/>
  <c r="N418" i="29"/>
  <c r="M532" i="29"/>
  <c r="M462" i="29"/>
  <c r="M451" i="29"/>
  <c r="M330" i="29"/>
  <c r="M394" i="29"/>
  <c r="M444" i="29"/>
  <c r="N234" i="29"/>
  <c r="M377" i="29"/>
  <c r="M177" i="29"/>
  <c r="M443" i="29"/>
  <c r="N461" i="29"/>
  <c r="M21" i="29"/>
  <c r="N110" i="25"/>
  <c r="L110" i="25"/>
  <c r="L131" i="25"/>
  <c r="N116" i="25"/>
  <c r="L166" i="25"/>
  <c r="N227" i="29"/>
  <c r="N497" i="29"/>
  <c r="N365" i="29"/>
  <c r="M260" i="29"/>
  <c r="M49" i="29"/>
  <c r="M363"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46" i="29"/>
  <c r="N108" i="29"/>
  <c r="N86" i="29"/>
  <c r="N95" i="29"/>
  <c r="M374" i="29"/>
  <c r="N179" i="29"/>
  <c r="N20" i="29"/>
  <c r="M323" i="29"/>
  <c r="M14" i="29"/>
  <c r="M82" i="29"/>
  <c r="N103" i="29"/>
  <c r="N241" i="29"/>
  <c r="N203" i="29"/>
  <c r="M405" i="29"/>
  <c r="M368" i="29"/>
  <c r="M362" i="29"/>
  <c r="M339" i="29"/>
  <c r="M356" i="29"/>
  <c r="M429" i="29"/>
  <c r="M494" i="29"/>
  <c r="N88" i="29"/>
  <c r="N247" i="29"/>
  <c r="N317" i="29"/>
  <c r="M523" i="29"/>
  <c r="N602" i="29"/>
  <c r="M470" i="29"/>
  <c r="M303" i="29"/>
  <c r="N309" i="29"/>
  <c r="BM124" i="24"/>
  <c r="N401" i="29"/>
  <c r="N416" i="29"/>
  <c r="N525" i="29"/>
  <c r="M577" i="29"/>
  <c r="N404" i="29"/>
  <c r="N585" i="29"/>
  <c r="M533" i="29"/>
  <c r="M528" i="29"/>
  <c r="N415" i="29"/>
  <c r="N406" i="29"/>
  <c r="M345" i="29"/>
  <c r="M361" i="29"/>
  <c r="M471" i="29"/>
  <c r="N550" i="29"/>
  <c r="N13" i="29"/>
  <c r="M52" i="29"/>
  <c r="M442" i="29"/>
  <c r="N24" i="29"/>
  <c r="N276" i="29"/>
  <c r="M73" i="29"/>
  <c r="M355" i="29"/>
  <c r="M16" i="29"/>
  <c r="N281" i="29"/>
  <c r="N156" i="29"/>
  <c r="V570" i="29"/>
  <c r="V596" i="29"/>
  <c r="Y4" i="29"/>
  <c r="M154" i="24"/>
  <c r="N154" i="24" s="1"/>
  <c r="P154" i="24" s="1"/>
  <c r="M602" i="29"/>
  <c r="M275" i="29"/>
  <c r="M389" i="29"/>
  <c r="M454" i="29"/>
  <c r="M469" i="29"/>
  <c r="M440" i="29"/>
  <c r="N319" i="29"/>
  <c r="N485" i="29"/>
  <c r="M261" i="29"/>
  <c r="M132" i="29"/>
  <c r="M455" i="29"/>
  <c r="M84" i="29"/>
  <c r="N569" i="29"/>
  <c r="N440" i="29"/>
  <c r="N454" i="29"/>
  <c r="N36" i="29"/>
  <c r="N195" i="29"/>
  <c r="M23" i="29"/>
  <c r="M137" i="29"/>
  <c r="M395" i="29"/>
  <c r="N474" i="29"/>
  <c r="N126" i="29"/>
  <c r="M113" i="29"/>
  <c r="M156" i="29"/>
  <c r="N328"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M255" i="29"/>
  <c r="N214"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70" i="29"/>
  <c r="N233" i="29"/>
  <c r="N135" i="29"/>
  <c r="M120" i="29"/>
  <c r="N273" i="29"/>
  <c r="M222" i="29"/>
  <c r="N303" i="29"/>
  <c r="M256" i="29"/>
  <c r="N208" i="29"/>
  <c r="M206" i="29"/>
  <c r="M111" i="29"/>
  <c r="M294" i="29"/>
  <c r="M295" i="29"/>
  <c r="N471" i="29"/>
  <c r="M428" i="29"/>
  <c r="M381" i="29"/>
  <c r="N498" i="29"/>
  <c r="M246" i="29"/>
  <c r="N77" i="29"/>
  <c r="N242" i="29"/>
  <c r="M191" i="29"/>
  <c r="N139" i="29"/>
  <c r="N44" i="29"/>
  <c r="N332" i="29"/>
  <c r="M194" i="29"/>
  <c r="N272" i="29"/>
  <c r="N28" i="29"/>
  <c r="N316" i="29"/>
  <c r="M562" i="29"/>
  <c r="N90" i="29"/>
  <c r="M413" i="29"/>
  <c r="N229" i="29"/>
  <c r="N136" i="29"/>
  <c r="M382" i="29"/>
  <c r="N49" i="29"/>
  <c r="N274" i="29"/>
  <c r="N171" i="29"/>
  <c r="M124" i="29"/>
  <c r="N76" i="29"/>
  <c r="M270" i="29"/>
  <c r="N226" i="29"/>
  <c r="N123" i="29"/>
  <c r="M108" i="29"/>
  <c r="M225" i="29"/>
  <c r="M305" i="29"/>
  <c r="N105" i="29"/>
  <c r="M54" i="29"/>
  <c r="N173" i="29"/>
  <c r="N110" i="29"/>
  <c r="M347" i="29"/>
  <c r="N295" i="29"/>
  <c r="M248" i="29"/>
  <c r="N341" i="29"/>
  <c r="M290" i="29"/>
  <c r="N246" i="29"/>
  <c r="M195" i="29"/>
  <c r="N219" i="29"/>
  <c r="M172" i="29"/>
  <c r="M588" i="29"/>
  <c r="M509" i="29"/>
  <c r="N198" i="29"/>
  <c r="M208" i="29"/>
  <c r="N370" i="29"/>
  <c r="M18" i="29"/>
  <c r="N232" i="29"/>
  <c r="M510" i="29"/>
  <c r="N177" i="29"/>
  <c r="M126" i="29"/>
  <c r="N82" i="29"/>
  <c r="N278" i="29"/>
  <c r="M50" i="29"/>
  <c r="M338" i="29"/>
  <c r="N174" i="29"/>
  <c r="M123" i="29"/>
  <c r="N296" i="29"/>
  <c r="M542" i="29"/>
  <c r="N209" i="29"/>
  <c r="N342" i="29"/>
  <c r="M291" i="29"/>
  <c r="N239" i="29"/>
  <c r="M192" i="29"/>
  <c r="N144" i="29"/>
  <c r="M38" i="29"/>
  <c r="M447" i="29"/>
  <c r="N407" i="29"/>
  <c r="M364"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106" i="29"/>
  <c r="N237" i="29"/>
  <c r="N334" i="29"/>
  <c r="M251" i="29"/>
  <c r="N299" i="29"/>
  <c r="M220" i="29"/>
  <c r="N140" i="29"/>
  <c r="M610" i="29"/>
  <c r="N213" i="29"/>
  <c r="N54" i="29"/>
  <c r="M332" i="29"/>
  <c r="M466" i="29"/>
  <c r="N249" i="29"/>
  <c r="M39" i="29"/>
  <c r="N494"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M227" i="29" l="1"/>
  <c r="M434" i="29"/>
  <c r="M34" i="29"/>
  <c r="M271" i="29"/>
  <c r="AG271" i="29" s="1"/>
  <c r="N248" i="29"/>
  <c r="M460" i="29"/>
  <c r="AG460" i="29" s="1"/>
  <c r="M146" i="29"/>
  <c r="M606" i="29"/>
  <c r="N35" i="29"/>
  <c r="N607" i="29"/>
  <c r="N253" i="29"/>
  <c r="AH253" i="29" s="1"/>
  <c r="N605" i="29"/>
  <c r="M253" i="29"/>
  <c r="W253" i="29" s="1"/>
  <c r="AA253" i="29" s="1"/>
  <c r="N389" i="29"/>
  <c r="AH389" i="29" s="1"/>
  <c r="N168" i="29"/>
  <c r="M209" i="29"/>
  <c r="M461" i="29"/>
  <c r="N580" i="29"/>
  <c r="N310" i="29"/>
  <c r="N98" i="29"/>
  <c r="M31" i="29"/>
  <c r="N175" i="29"/>
  <c r="M43" i="29"/>
  <c r="M543" i="29"/>
  <c r="N197" i="29"/>
  <c r="N72" i="29"/>
  <c r="AH72" i="29" s="1"/>
  <c r="M490" i="29"/>
  <c r="M373" i="29"/>
  <c r="M366" i="29"/>
  <c r="N275" i="29"/>
  <c r="M298" i="29"/>
  <c r="AG298" i="29" s="1"/>
  <c r="N369" i="29"/>
  <c r="X369" i="29" s="1"/>
  <c r="Y369" i="29" s="1"/>
  <c r="M539" i="29"/>
  <c r="N574" i="29"/>
  <c r="M573" i="29"/>
  <c r="M297" i="29"/>
  <c r="N78" i="29"/>
  <c r="N71" i="29"/>
  <c r="N31" i="29"/>
  <c r="M122" i="29"/>
  <c r="N337" i="29"/>
  <c r="AH337" i="29" s="1"/>
  <c r="M92" i="29"/>
  <c r="N257" i="29"/>
  <c r="X257" i="29" s="1"/>
  <c r="Y257" i="29" s="1"/>
  <c r="M401" i="29"/>
  <c r="AG401" i="29" s="1"/>
  <c r="M313" i="29"/>
  <c r="W313" i="29" s="1"/>
  <c r="AA313" i="29" s="1"/>
  <c r="N228" i="29"/>
  <c r="N508" i="29"/>
  <c r="N62" i="29"/>
  <c r="N562" i="29"/>
  <c r="N360" i="29"/>
  <c r="N538" i="29"/>
  <c r="N192" i="29"/>
  <c r="N115" i="29"/>
  <c r="N89" i="29"/>
  <c r="M371" i="29"/>
  <c r="W371" i="29" s="1"/>
  <c r="AA371" i="29" s="1"/>
  <c r="N446" i="29"/>
  <c r="M245" i="29"/>
  <c r="N567" i="29"/>
  <c r="X567" i="29" s="1"/>
  <c r="Y567" i="29" s="1"/>
  <c r="N381" i="29"/>
  <c r="N258" i="29"/>
  <c r="AH258" i="29" s="1"/>
  <c r="M272" i="29"/>
  <c r="M436" i="29"/>
  <c r="M205" i="29"/>
  <c r="M354" i="29"/>
  <c r="AG354" i="29" s="1"/>
  <c r="N161" i="29"/>
  <c r="M322" i="29"/>
  <c r="AG322" i="29" s="1"/>
  <c r="M136" i="29"/>
  <c r="M342" i="29"/>
  <c r="W342" i="29" s="1"/>
  <c r="M318" i="29"/>
  <c r="N245" i="29"/>
  <c r="M511" i="29"/>
  <c r="M187" i="29"/>
  <c r="N84" i="29"/>
  <c r="N432" i="29"/>
  <c r="M215" i="29"/>
  <c r="M185" i="29"/>
  <c r="M198" i="29"/>
  <c r="N412" i="29"/>
  <c r="N176" i="29"/>
  <c r="M553" i="29"/>
  <c r="M554" i="29"/>
  <c r="M62" i="29"/>
  <c r="W62" i="29" s="1"/>
  <c r="AA62" i="29" s="1"/>
  <c r="N252" i="29"/>
  <c r="N37" i="29"/>
  <c r="M426" i="29"/>
  <c r="M24" i="29"/>
  <c r="N69" i="29"/>
  <c r="N53" i="29"/>
  <c r="M175" i="29"/>
  <c r="N590" i="29"/>
  <c r="N297" i="29"/>
  <c r="N15" i="29"/>
  <c r="N301" i="29"/>
  <c r="M375" i="29"/>
  <c r="N429" i="29"/>
  <c r="M257" i="29"/>
  <c r="M581" i="29"/>
  <c r="N18" i="29"/>
  <c r="M279" i="29"/>
  <c r="AG279" i="29" s="1"/>
  <c r="N21" i="29"/>
  <c r="M276" i="29"/>
  <c r="M148" i="29"/>
  <c r="N519" i="29"/>
  <c r="N211" i="29"/>
  <c r="N155" i="29"/>
  <c r="M478" i="29"/>
  <c r="M422" i="29"/>
  <c r="M66" i="29"/>
  <c r="N129" i="29"/>
  <c r="N327" i="29"/>
  <c r="M170" i="29"/>
  <c r="N172" i="29"/>
  <c r="M326" i="29"/>
  <c r="AG326" i="29" s="1"/>
  <c r="N33" i="29"/>
  <c r="N109" i="29"/>
  <c r="N91" i="29"/>
  <c r="AH91" i="29" s="1"/>
  <c r="N305" i="29"/>
  <c r="AH305" i="29" s="1"/>
  <c r="N558" i="29"/>
  <c r="N118" i="29"/>
  <c r="N165" i="29"/>
  <c r="N130" i="29"/>
  <c r="M331" i="29"/>
  <c r="N467" i="29"/>
  <c r="N427" i="29"/>
  <c r="N570" i="29"/>
  <c r="M141" i="29"/>
  <c r="M537" i="29"/>
  <c r="N546" i="29"/>
  <c r="N402" i="29"/>
  <c r="X402" i="29" s="1"/>
  <c r="Y402" i="29" s="1"/>
  <c r="N292" i="29"/>
  <c r="N490" i="29"/>
  <c r="N185" i="29"/>
  <c r="M22" i="29"/>
  <c r="N351" i="29"/>
  <c r="M249" i="29"/>
  <c r="N434" i="29"/>
  <c r="AH434" i="29" s="1"/>
  <c r="M406" i="29"/>
  <c r="N320" i="29"/>
  <c r="M607" i="29"/>
  <c r="M280" i="29"/>
  <c r="W280" i="29" s="1"/>
  <c r="N321" i="29"/>
  <c r="M116" i="29"/>
  <c r="M239" i="29"/>
  <c r="AG239" i="29" s="1"/>
  <c r="N264" i="29"/>
  <c r="M264" i="29"/>
  <c r="N117" i="29"/>
  <c r="N112" i="29"/>
  <c r="N39" i="29"/>
  <c r="X39" i="29" s="1"/>
  <c r="Y39" i="29" s="1"/>
  <c r="N314" i="29"/>
  <c r="M188" i="29"/>
  <c r="M445" i="29"/>
  <c r="AG445" i="29" s="1"/>
  <c r="N16" i="29"/>
  <c r="M278" i="29"/>
  <c r="AG278" i="29" s="1"/>
  <c r="M143" i="29"/>
  <c r="AG143" i="29" s="1"/>
  <c r="M219" i="29"/>
  <c r="M570" i="29"/>
  <c r="W570" i="29" s="1"/>
  <c r="M162" i="29"/>
  <c r="M72" i="29"/>
  <c r="M204" i="29"/>
  <c r="AG204" i="29" s="1"/>
  <c r="N455" i="29"/>
  <c r="M568" i="29"/>
  <c r="M536" i="29"/>
  <c r="M491" i="29"/>
  <c r="AG491" i="29" s="1"/>
  <c r="N166" i="29"/>
  <c r="N532" i="29"/>
  <c r="N515" i="29"/>
  <c r="M199" i="29"/>
  <c r="M129" i="29"/>
  <c r="N479" i="29"/>
  <c r="M55" i="29"/>
  <c r="AG55" i="29" s="1"/>
  <c r="M98" i="29"/>
  <c r="N459" i="29"/>
  <c r="M211" i="29"/>
  <c r="M477" i="29"/>
  <c r="N131" i="29"/>
  <c r="N357" i="29"/>
  <c r="AH357" i="29" s="1"/>
  <c r="M517" i="29"/>
  <c r="N250" i="29"/>
  <c r="N43" i="29"/>
  <c r="N101" i="29"/>
  <c r="M254" i="29"/>
  <c r="N158" i="29"/>
  <c r="AH158" i="29" s="1"/>
  <c r="N482" i="29"/>
  <c r="AH482" i="29" s="1"/>
  <c r="N464" i="29"/>
  <c r="N399" i="29"/>
  <c r="M144" i="29"/>
  <c r="AG144" i="29" s="1"/>
  <c r="N346" i="29"/>
  <c r="AH346" i="29" s="1"/>
  <c r="N206" i="29"/>
  <c r="M417" i="29"/>
  <c r="AG417" i="29" s="1"/>
  <c r="M293" i="29"/>
  <c r="N322" i="29"/>
  <c r="M344" i="29"/>
  <c r="N23" i="29"/>
  <c r="M63" i="29"/>
  <c r="M160" i="29"/>
  <c r="M91" i="29"/>
  <c r="AG91" i="29" s="1"/>
  <c r="M161" i="29"/>
  <c r="N235" i="29"/>
  <c r="M492" i="29"/>
  <c r="M32" i="29"/>
  <c r="N329" i="29"/>
  <c r="X329" i="29" s="1"/>
  <c r="Y329" i="29" s="1"/>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W516" i="29" s="1"/>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AH282" i="29" s="1"/>
  <c r="M244" i="29"/>
  <c r="M289" i="29"/>
  <c r="M500" i="29"/>
  <c r="M104" i="29"/>
  <c r="M311" i="29"/>
  <c r="AG311" i="29" s="1"/>
  <c r="M572" i="29"/>
  <c r="M415" i="29"/>
  <c r="W415" i="29" s="1"/>
  <c r="M130" i="29"/>
  <c r="M154" i="29"/>
  <c r="M110" i="29"/>
  <c r="M312" i="29"/>
  <c r="M319" i="29"/>
  <c r="M157" i="29"/>
  <c r="N290" i="29"/>
  <c r="AH290" i="29" s="1"/>
  <c r="M59" i="29"/>
  <c r="N343" i="29"/>
  <c r="M223" i="29"/>
  <c r="AG223" i="29" s="1"/>
  <c r="N503" i="29"/>
  <c r="M578" i="29"/>
  <c r="N102" i="29"/>
  <c r="N162" i="29"/>
  <c r="M93" i="29"/>
  <c r="AG93" i="29" s="1"/>
  <c r="M386" i="29"/>
  <c r="N218" i="29"/>
  <c r="M458" i="29"/>
  <c r="AG458" i="29" s="1"/>
  <c r="N581" i="29"/>
  <c r="N612" i="29"/>
  <c r="N375" i="29"/>
  <c r="M367" i="29"/>
  <c r="M601" i="29"/>
  <c r="M20" i="29"/>
  <c r="N65" i="29"/>
  <c r="AH65" i="29" s="1"/>
  <c r="M75" i="29"/>
  <c r="M487" i="29"/>
  <c r="N141" i="29"/>
  <c r="M140" i="29"/>
  <c r="N413" i="29"/>
  <c r="N376" i="29"/>
  <c r="M327" i="29"/>
  <c r="M388" i="29"/>
  <c r="N361" i="29"/>
  <c r="M393" i="29"/>
  <c r="U415" i="29"/>
  <c r="V415" i="29"/>
  <c r="U395" i="29"/>
  <c r="V395" i="29"/>
  <c r="U470" i="29"/>
  <c r="V470" i="29"/>
  <c r="V238" i="29"/>
  <c r="U238" i="29"/>
  <c r="V70" i="29"/>
  <c r="U70" i="29"/>
  <c r="V209" i="29"/>
  <c r="AH209" i="29" s="1"/>
  <c r="U209" i="29"/>
  <c r="U263" i="29"/>
  <c r="V263" i="29"/>
  <c r="U611" i="29"/>
  <c r="V611" i="29"/>
  <c r="AH611" i="29" s="1"/>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V24" i="29"/>
  <c r="AO60" i="29"/>
  <c r="AO200" i="29"/>
  <c r="AO33" i="29"/>
  <c r="T494" i="29"/>
  <c r="T568" i="29"/>
  <c r="S168" i="29"/>
  <c r="T422" i="29"/>
  <c r="AE422" i="29" s="1"/>
  <c r="T503" i="29"/>
  <c r="T609" i="29"/>
  <c r="T375" i="29"/>
  <c r="T512" i="29"/>
  <c r="S605" i="29"/>
  <c r="S468" i="29"/>
  <c r="T377" i="29"/>
  <c r="T540" i="29"/>
  <c r="AE540" i="29" s="1"/>
  <c r="T379" i="29"/>
  <c r="U293" i="29"/>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X498" i="29" s="1"/>
  <c r="Y498" i="29" s="1"/>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W434" i="29" s="1"/>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X310" i="29" s="1"/>
  <c r="Y310" i="29" s="1"/>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S63" i="29"/>
  <c r="U482" i="29"/>
  <c r="S95" i="29"/>
  <c r="AD95" i="29" s="1"/>
  <c r="S115" i="29"/>
  <c r="S367" i="29"/>
  <c r="AD367" i="29" s="1"/>
  <c r="U347" i="29"/>
  <c r="V93" i="29"/>
  <c r="X93" i="29" s="1"/>
  <c r="Y93" i="29" s="1"/>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AG230" i="29" s="1"/>
  <c r="M529" i="29"/>
  <c r="M217" i="29"/>
  <c r="M538" i="29"/>
  <c r="N560" i="29"/>
  <c r="N362" i="29"/>
  <c r="N554" i="29"/>
  <c r="M593" i="29"/>
  <c r="W593" i="29" s="1"/>
  <c r="AA593" i="29" s="1"/>
  <c r="M505" i="29"/>
  <c r="M604" i="29"/>
  <c r="AG604" i="29" s="1"/>
  <c r="N371" i="29"/>
  <c r="AH371" i="29" s="1"/>
  <c r="N57" i="29"/>
  <c r="X57" i="29" s="1"/>
  <c r="Y57" i="29" s="1"/>
  <c r="M489" i="29"/>
  <c r="M609" i="29"/>
  <c r="W609" i="29" s="1"/>
  <c r="AA609" i="29" s="1"/>
  <c r="M292" i="29"/>
  <c r="M181" i="29"/>
  <c r="N500" i="29"/>
  <c r="M459" i="29"/>
  <c r="M97" i="29"/>
  <c r="W97" i="29" s="1"/>
  <c r="N556" i="29"/>
  <c r="M567" i="29"/>
  <c r="W567" i="29" s="1"/>
  <c r="AA567" i="29" s="1"/>
  <c r="N577" i="29"/>
  <c r="N339" i="29"/>
  <c r="M87" i="29"/>
  <c r="M385" i="29"/>
  <c r="W385" i="29" s="1"/>
  <c r="AA385" i="29" s="1"/>
  <c r="M228" i="29"/>
  <c r="N132" i="29"/>
  <c r="AH132" i="29" s="1"/>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W77" i="29" s="1"/>
  <c r="AA77" i="29" s="1"/>
  <c r="M586" i="29"/>
  <c r="N308" i="29"/>
  <c r="AO366" i="29"/>
  <c r="AO386" i="29"/>
  <c r="AO435" i="29"/>
  <c r="U435" i="29" s="1"/>
  <c r="AO213" i="29"/>
  <c r="U467" i="29"/>
  <c r="V467" i="29"/>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AG334" i="29" s="1"/>
  <c r="N338" i="29"/>
  <c r="N125" i="29"/>
  <c r="N182" i="29"/>
  <c r="N231" i="29"/>
  <c r="N352" i="29"/>
  <c r="M288" i="29"/>
  <c r="W288" i="29" s="1"/>
  <c r="N17" i="29"/>
  <c r="M526" i="29"/>
  <c r="M530" i="29"/>
  <c r="W530" i="29" s="1"/>
  <c r="N181" i="29"/>
  <c r="N238" i="29"/>
  <c r="X238" i="29" s="1"/>
  <c r="Y238" i="29" s="1"/>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AH353" i="29" s="1"/>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AG282" i="29" s="1"/>
  <c r="N263" i="29"/>
  <c r="N312" i="29"/>
  <c r="N336" i="29"/>
  <c r="M484" i="29"/>
  <c r="AG484" i="29" s="1"/>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W15" i="29" s="1"/>
  <c r="AA15" i="29" s="1"/>
  <c r="M117" i="29"/>
  <c r="M497" i="29"/>
  <c r="AG497" i="29" s="1"/>
  <c r="AO69" i="29"/>
  <c r="AO38" i="29"/>
  <c r="AO25" i="29"/>
  <c r="AO175" i="29"/>
  <c r="AO99" i="29"/>
  <c r="N279" i="29"/>
  <c r="X279" i="29" s="1"/>
  <c r="Y279" i="29" s="1"/>
  <c r="M320" i="29"/>
  <c r="M286" i="29"/>
  <c r="N134" i="29"/>
  <c r="N326" i="29"/>
  <c r="AH326" i="29" s="1"/>
  <c r="N283" i="29"/>
  <c r="M284" i="29"/>
  <c r="N74" i="29"/>
  <c r="N204" i="29"/>
  <c r="AH204" i="29" s="1"/>
  <c r="N205" i="29"/>
  <c r="M350" i="29"/>
  <c r="N97" i="29"/>
  <c r="X97" i="29" s="1"/>
  <c r="Y97" i="29" s="1"/>
  <c r="M94" i="29"/>
  <c r="N408" i="29"/>
  <c r="AH408" i="29" s="1"/>
  <c r="M594" i="29"/>
  <c r="N277" i="29"/>
  <c r="N302" i="29"/>
  <c r="X302" i="29" s="1"/>
  <c r="Y302" i="29" s="1"/>
  <c r="N215" i="29"/>
  <c r="N47" i="29"/>
  <c r="N104" i="29"/>
  <c r="N287" i="29"/>
  <c r="AH287" i="29" s="1"/>
  <c r="M300" i="29"/>
  <c r="N300" i="29"/>
  <c r="AH300" i="29" s="1"/>
  <c r="N333" i="29"/>
  <c r="X333" i="29" s="1"/>
  <c r="Y333" i="29" s="1"/>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AH447" i="29" s="1"/>
  <c r="M180" i="29"/>
  <c r="M520" i="29"/>
  <c r="N271" i="29"/>
  <c r="N403" i="29"/>
  <c r="AH403" i="29" s="1"/>
  <c r="M28" i="29"/>
  <c r="N294" i="29"/>
  <c r="M95" i="29"/>
  <c r="M69" i="29"/>
  <c r="N603" i="29"/>
  <c r="I477" i="29"/>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I328" i="29"/>
  <c r="J130" i="29"/>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AH70" i="29" s="1"/>
  <c r="I90" i="29"/>
  <c r="I544" i="29"/>
  <c r="J524" i="29"/>
  <c r="J381" i="29"/>
  <c r="I340" i="29"/>
  <c r="I239" i="29"/>
  <c r="J226" i="29"/>
  <c r="J132" i="29"/>
  <c r="J112" i="29"/>
  <c r="I497" i="29"/>
  <c r="J322" i="29"/>
  <c r="J288" i="29"/>
  <c r="J124" i="29"/>
  <c r="I45" i="29"/>
  <c r="J452" i="29"/>
  <c r="J299" i="29"/>
  <c r="J210" i="29"/>
  <c r="J99" i="29"/>
  <c r="J574" i="29"/>
  <c r="J399" i="29"/>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AG509" i="29" s="1"/>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J341" i="29"/>
  <c r="J241" i="29"/>
  <c r="I188" i="29"/>
  <c r="J174" i="29"/>
  <c r="J533" i="29"/>
  <c r="J344" i="29"/>
  <c r="I249" i="29"/>
  <c r="I563" i="29"/>
  <c r="I396" i="29"/>
  <c r="J246" i="29"/>
  <c r="AH246" i="29" s="1"/>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I186" i="29"/>
  <c r="J155" i="29"/>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J462" i="29"/>
  <c r="J214" i="29"/>
  <c r="I574" i="29"/>
  <c r="I572" i="29"/>
  <c r="J53" i="29"/>
  <c r="I158" i="29"/>
  <c r="I461" i="29"/>
  <c r="I605" i="29"/>
  <c r="J32" i="29"/>
  <c r="J604" i="29"/>
  <c r="I593" i="29"/>
  <c r="J503" i="29"/>
  <c r="I408" i="29"/>
  <c r="I361" i="29"/>
  <c r="I303" i="29"/>
  <c r="J544" i="29"/>
  <c r="I476" i="29"/>
  <c r="J401" i="29"/>
  <c r="AH401" i="29" s="1"/>
  <c r="I15" i="29"/>
  <c r="I541" i="29"/>
  <c r="I481" i="29"/>
  <c r="I370" i="29"/>
  <c r="I52" i="29"/>
  <c r="I569" i="29"/>
  <c r="J482" i="29"/>
  <c r="I401" i="29"/>
  <c r="I312" i="29"/>
  <c r="J258" i="29"/>
  <c r="J198" i="29"/>
  <c r="I160" i="29"/>
  <c r="J84" i="29"/>
  <c r="J579" i="29"/>
  <c r="J493" i="29"/>
  <c r="I421" i="29"/>
  <c r="I387" i="29"/>
  <c r="I281" i="29"/>
  <c r="J240" i="29"/>
  <c r="J192" i="29"/>
  <c r="J98" i="29"/>
  <c r="J595" i="29"/>
  <c r="J417" i="29"/>
  <c r="I231" i="29"/>
  <c r="I213" i="29"/>
  <c r="J154" i="29"/>
  <c r="I508" i="29"/>
  <c r="J368" i="29"/>
  <c r="I265" i="29"/>
  <c r="J197" i="29"/>
  <c r="J96" i="29"/>
  <c r="J490" i="29"/>
  <c r="I359" i="29"/>
  <c r="J238" i="29"/>
  <c r="I120" i="29"/>
  <c r="I53" i="29"/>
  <c r="J446" i="29"/>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I128" i="29"/>
  <c r="I69" i="29"/>
  <c r="J517" i="29"/>
  <c r="I431" i="29"/>
  <c r="J285" i="29"/>
  <c r="J247" i="29"/>
  <c r="J126" i="29"/>
  <c r="J532" i="29"/>
  <c r="J307" i="29"/>
  <c r="J184" i="29"/>
  <c r="J141" i="29"/>
  <c r="I352" i="29"/>
  <c r="J199" i="29"/>
  <c r="I77" i="29"/>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AG305" i="29" s="1"/>
  <c r="J373" i="29"/>
  <c r="J252" i="29"/>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J40" i="29"/>
  <c r="I611" i="29"/>
  <c r="J512" i="29"/>
  <c r="I393" i="29"/>
  <c r="J316" i="29"/>
  <c r="I504" i="29"/>
  <c r="J459" i="29"/>
  <c r="I21" i="29"/>
  <c r="J495" i="29"/>
  <c r="J413" i="29"/>
  <c r="J584" i="29"/>
  <c r="J474" i="29"/>
  <c r="J379" i="29"/>
  <c r="I243" i="29"/>
  <c r="I201" i="29"/>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AG193" i="29" s="1"/>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AG533" i="29" s="1"/>
  <c r="I276" i="29"/>
  <c r="I86" i="29"/>
  <c r="J57" i="29"/>
  <c r="J133" i="29"/>
  <c r="J377" i="29"/>
  <c r="J607" i="29"/>
  <c r="J400" i="29"/>
  <c r="J558" i="29"/>
  <c r="J164" i="29"/>
  <c r="I194" i="29"/>
  <c r="I598" i="29"/>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I429" i="29"/>
  <c r="W429" i="29" s="1"/>
  <c r="AA429" i="29" s="1"/>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AH234" i="29" s="1"/>
  <c r="J106" i="29"/>
  <c r="I225" i="29"/>
  <c r="I63" i="29"/>
  <c r="J235" i="29"/>
  <c r="I19" i="29"/>
  <c r="I112" i="29"/>
  <c r="I57" i="29"/>
  <c r="J16" i="29"/>
  <c r="I602" i="29"/>
  <c r="I280" i="29"/>
  <c r="I130" i="29"/>
  <c r="I304" i="29"/>
  <c r="I101" i="29"/>
  <c r="I54" i="29"/>
  <c r="I189" i="29"/>
  <c r="I144" i="29"/>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J23" i="29"/>
  <c r="I43" i="29"/>
  <c r="I398" i="29"/>
  <c r="I543" i="29"/>
  <c r="J522" i="29"/>
  <c r="I123" i="29"/>
  <c r="J85" i="29"/>
  <c r="I200" i="29"/>
  <c r="I338" i="29"/>
  <c r="I341" i="29"/>
  <c r="I99" i="29"/>
  <c r="J488" i="29"/>
  <c r="J411" i="29"/>
  <c r="I117" i="29"/>
  <c r="I214" i="29"/>
  <c r="J429" i="29"/>
  <c r="J61" i="29"/>
  <c r="J465" i="29"/>
  <c r="I523" i="29"/>
  <c r="I381" i="29"/>
  <c r="J65" i="29"/>
  <c r="J360" i="29"/>
  <c r="J109" i="29"/>
  <c r="J156" i="29"/>
  <c r="I240" i="29"/>
  <c r="J140" i="29"/>
  <c r="I267" i="29"/>
  <c r="I433" i="29"/>
  <c r="J73" i="29"/>
  <c r="J35" i="29"/>
  <c r="I609" i="29"/>
  <c r="I44" i="29"/>
  <c r="J380" i="29"/>
  <c r="J598" i="29"/>
  <c r="I400" i="29"/>
  <c r="I525" i="29"/>
  <c r="J370" i="29"/>
  <c r="I518" i="29"/>
  <c r="J100" i="29"/>
  <c r="I59" i="29"/>
  <c r="I567" i="29"/>
  <c r="J359" i="29"/>
  <c r="I558" i="29"/>
  <c r="J548" i="29"/>
  <c r="J530" i="29"/>
  <c r="I469" i="29"/>
  <c r="J221" i="29"/>
  <c r="I407" i="29"/>
  <c r="AG407" i="29" s="1"/>
  <c r="J137" i="29"/>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AH498" i="29" s="1"/>
  <c r="I374" i="29"/>
  <c r="I373" i="29"/>
  <c r="I257" i="29"/>
  <c r="I395" i="29"/>
  <c r="AG395" i="29" s="1"/>
  <c r="I473" i="29"/>
  <c r="I584" i="29"/>
  <c r="I489" i="29"/>
  <c r="I251" i="29"/>
  <c r="I82" i="29"/>
  <c r="J392" i="29"/>
  <c r="I344" i="29"/>
  <c r="J272" i="29"/>
  <c r="I498" i="29"/>
  <c r="I482" i="29"/>
  <c r="I501" i="29"/>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AH293" i="29" s="1"/>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W403" i="29" s="1"/>
  <c r="AA403" i="29" s="1"/>
  <c r="M595" i="29"/>
  <c r="M592" i="29"/>
  <c r="M155" i="29"/>
  <c r="AG155" i="29" s="1"/>
  <c r="M102" i="29"/>
  <c r="M508" i="29"/>
  <c r="N383" i="29"/>
  <c r="N217" i="29"/>
  <c r="N261" i="29"/>
  <c r="N388" i="29"/>
  <c r="T624" i="29"/>
  <c r="N354" i="29"/>
  <c r="AH354" i="29" s="1"/>
  <c r="M485" i="29"/>
  <c r="N377" i="29"/>
  <c r="AH377" i="29" s="1"/>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AO525" i="29"/>
  <c r="U39" i="29"/>
  <c r="V39" i="29"/>
  <c r="AO66" i="29"/>
  <c r="AO198" i="29"/>
  <c r="AH5" i="25"/>
  <c r="N483" i="29"/>
  <c r="N587" i="29"/>
  <c r="AH587" i="29" s="1"/>
  <c r="N243" i="29"/>
  <c r="M281" i="29"/>
  <c r="N553" i="29"/>
  <c r="M89" i="29"/>
  <c r="M414" i="29"/>
  <c r="N100" i="29"/>
  <c r="N516" i="29"/>
  <c r="AH516" i="29" s="1"/>
  <c r="N344" i="29"/>
  <c r="M579" i="29"/>
  <c r="M551" i="29"/>
  <c r="M384" i="29"/>
  <c r="M357" i="29"/>
  <c r="N557" i="29"/>
  <c r="N466" i="29"/>
  <c r="N457" i="29"/>
  <c r="H329" i="25"/>
  <c r="I24" i="8" s="1"/>
  <c r="J24" i="8" s="1"/>
  <c r="I28" i="8"/>
  <c r="L52" i="1"/>
  <c r="L54" i="1" s="1"/>
  <c r="H31" i="8"/>
  <c r="H329" i="24"/>
  <c r="I23" i="8" s="1"/>
  <c r="J23" i="8" s="1"/>
  <c r="U21" i="29"/>
  <c r="AG21" i="29" s="1"/>
  <c r="V21" i="29"/>
  <c r="U232" i="29"/>
  <c r="U130" i="29"/>
  <c r="V501" i="29"/>
  <c r="U41" i="29"/>
  <c r="V41" i="29"/>
  <c r="U279" i="29"/>
  <c r="V598" i="29"/>
  <c r="V322" i="29"/>
  <c r="V258" i="29"/>
  <c r="U447" i="29"/>
  <c r="V442" i="29"/>
  <c r="U442" i="29"/>
  <c r="AG442" i="29" s="1"/>
  <c r="V401" i="29"/>
  <c r="X401" i="29" s="1"/>
  <c r="Y401" i="29" s="1"/>
  <c r="V468" i="29"/>
  <c r="V88" i="29"/>
  <c r="V311" i="29"/>
  <c r="U542" i="29"/>
  <c r="V495" i="29"/>
  <c r="V452" i="29"/>
  <c r="U510" i="29"/>
  <c r="W510" i="29" s="1"/>
  <c r="V280" i="29"/>
  <c r="V609" i="29"/>
  <c r="U604" i="29"/>
  <c r="V253" i="29"/>
  <c r="V334" i="29"/>
  <c r="U299" i="29"/>
  <c r="V466" i="29"/>
  <c r="U371" i="29"/>
  <c r="V435" i="29"/>
  <c r="V451" i="29"/>
  <c r="V576" i="29"/>
  <c r="AG394" i="29"/>
  <c r="V362" i="29"/>
  <c r="V226" i="29"/>
  <c r="AH226" i="29" s="1"/>
  <c r="U44" i="29"/>
  <c r="V497" i="29"/>
  <c r="V144" i="29"/>
  <c r="U568" i="29"/>
  <c r="U348" i="29"/>
  <c r="U402" i="29"/>
  <c r="U346" i="29"/>
  <c r="U429" i="29"/>
  <c r="V436" i="29"/>
  <c r="V504"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X436" i="29" s="1"/>
  <c r="Y436" i="29" s="1"/>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AG451" i="29"/>
  <c r="AG486" i="29"/>
  <c r="A241" i="2"/>
  <c r="B241" i="2"/>
  <c r="D44" i="16" s="1"/>
  <c r="C44" i="16"/>
  <c r="J15" i="23"/>
  <c r="K15" i="23" s="1"/>
  <c r="V518" i="29"/>
  <c r="V254" i="29"/>
  <c r="U391" i="29"/>
  <c r="U333" i="29"/>
  <c r="V513" i="29"/>
  <c r="U57" i="29"/>
  <c r="V106" i="29"/>
  <c r="AD624" i="29"/>
  <c r="V551" i="29"/>
  <c r="V77" i="29"/>
  <c r="U516" i="29"/>
  <c r="V13" i="29"/>
  <c r="V164" i="29"/>
  <c r="V278" i="29"/>
  <c r="V193" i="29"/>
  <c r="V547" i="29"/>
  <c r="U267" i="29"/>
  <c r="U540" i="29"/>
  <c r="V540" i="29"/>
  <c r="V245" i="29"/>
  <c r="X88" i="29"/>
  <c r="Y88" i="29" s="1"/>
  <c r="U305" i="29"/>
  <c r="V295" i="29"/>
  <c r="V368" i="29"/>
  <c r="U479" i="29"/>
  <c r="V593" i="29"/>
  <c r="U261" i="29"/>
  <c r="AG261" i="29" s="1"/>
  <c r="V313" i="29"/>
  <c r="U132" i="29"/>
  <c r="W132" i="29" s="1"/>
  <c r="AA132" i="29" s="1"/>
  <c r="AG602" i="29"/>
  <c r="V485" i="29"/>
  <c r="V326" i="29"/>
  <c r="V67" i="29"/>
  <c r="V599" i="29"/>
  <c r="AH599" i="29" s="1"/>
  <c r="U613" i="29"/>
  <c r="V613" i="29"/>
  <c r="W451" i="29"/>
  <c r="AA451" i="29" s="1"/>
  <c r="W624" i="29"/>
  <c r="J634" i="29" s="1"/>
  <c r="U456" i="29"/>
  <c r="U124" i="29"/>
  <c r="V506" i="29"/>
  <c r="U506" i="29"/>
  <c r="AH562" i="29"/>
  <c r="U433" i="29"/>
  <c r="V433" i="29"/>
  <c r="AX6" i="25"/>
  <c r="U500" i="29"/>
  <c r="V500" i="29"/>
  <c r="V503" i="29"/>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AG429" i="29"/>
  <c r="V327" i="29"/>
  <c r="U327" i="29"/>
  <c r="BA153" i="24"/>
  <c r="BA161" i="24"/>
  <c r="BA143" i="24"/>
  <c r="BA170" i="24"/>
  <c r="BA234" i="24"/>
  <c r="BA168" i="24"/>
  <c r="BA158" i="24"/>
  <c r="BA223" i="24"/>
  <c r="BA149" i="24"/>
  <c r="BA206" i="24"/>
  <c r="BA229" i="24"/>
  <c r="BA195" i="24"/>
  <c r="BA131" i="24"/>
  <c r="BA276" i="24"/>
  <c r="U206" i="29"/>
  <c r="AG206" i="29" s="1"/>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362" i="29"/>
  <c r="AG470" i="29"/>
  <c r="AH93" i="29"/>
  <c r="W193" i="29"/>
  <c r="AA193" i="29" s="1"/>
  <c r="W627" i="29"/>
  <c r="W260" i="29"/>
  <c r="AA260" i="29" s="1"/>
  <c r="AG469" i="29"/>
  <c r="W21" i="29"/>
  <c r="AA21" i="29" s="1"/>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L300" i="25"/>
  <c r="U369" i="29"/>
  <c r="V65" i="29"/>
  <c r="U65" i="29"/>
  <c r="U488" i="29"/>
  <c r="V488" i="29"/>
  <c r="U100" i="29"/>
  <c r="V100" i="29"/>
  <c r="V283" i="29"/>
  <c r="U283" i="29"/>
  <c r="BQ187" i="25"/>
  <c r="BQ137" i="25"/>
  <c r="AD97" i="29"/>
  <c r="L278" i="25"/>
  <c r="M293" i="24"/>
  <c r="M296" i="24"/>
  <c r="V301" i="29"/>
  <c r="U301" i="29"/>
  <c r="R93" i="23"/>
  <c r="N93" i="23"/>
  <c r="O93" i="23" s="1"/>
  <c r="P93" i="23" s="1"/>
  <c r="Q93" i="23" s="1"/>
  <c r="U475" i="29"/>
  <c r="V475" i="29"/>
  <c r="V372" i="29"/>
  <c r="U153" i="29"/>
  <c r="V153" i="29"/>
  <c r="V592" i="29"/>
  <c r="U592" i="29"/>
  <c r="V71" i="29"/>
  <c r="U71" i="29"/>
  <c r="V577" i="29"/>
  <c r="U577" i="29"/>
  <c r="AG577" i="29" s="1"/>
  <c r="U517" i="29"/>
  <c r="V517" i="29"/>
  <c r="V82" i="29"/>
  <c r="AH82" i="29" s="1"/>
  <c r="U82" i="29"/>
  <c r="AG82" i="29" s="1"/>
  <c r="U520" i="29"/>
  <c r="V520" i="29"/>
  <c r="V491" i="29"/>
  <c r="AE389" i="29"/>
  <c r="AH24" i="29"/>
  <c r="AH470" i="29"/>
  <c r="U207" i="29"/>
  <c r="V207" i="29"/>
  <c r="V56" i="29"/>
  <c r="U56" i="29"/>
  <c r="V137" i="29"/>
  <c r="U137" i="29"/>
  <c r="U478" i="29"/>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V490" i="29"/>
  <c r="V473" i="29"/>
  <c r="AH473" i="29" s="1"/>
  <c r="U473" i="29"/>
  <c r="U612" i="29"/>
  <c r="V612" i="29"/>
  <c r="AH88" i="29"/>
  <c r="U351" i="29"/>
  <c r="U374" i="29"/>
  <c r="V374" i="29"/>
  <c r="U536" i="29"/>
  <c r="V536" i="29"/>
  <c r="V541" i="29"/>
  <c r="U541" i="29"/>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W469" i="29"/>
  <c r="AA469" i="29" s="1"/>
  <c r="V91" i="29"/>
  <c r="U91" i="29"/>
  <c r="U36" i="29"/>
  <c r="V36" i="29"/>
  <c r="V330" i="29"/>
  <c r="U330" i="29"/>
  <c r="AG330" i="29" s="1"/>
  <c r="V324" i="29"/>
  <c r="U324" i="29"/>
  <c r="U86" i="29"/>
  <c r="V86" i="29"/>
  <c r="X86" i="29" s="1"/>
  <c r="Y86" i="29" s="1"/>
  <c r="U53" i="29"/>
  <c r="V53" i="29"/>
  <c r="U454" i="29"/>
  <c r="W454" i="29" s="1"/>
  <c r="AA454" i="29" s="1"/>
  <c r="V454" i="29"/>
  <c r="U493" i="29"/>
  <c r="V493" i="29"/>
  <c r="N42" i="23"/>
  <c r="O42" i="23" s="1"/>
  <c r="P42" i="23" s="1"/>
  <c r="Q42" i="23" s="1"/>
  <c r="W486" i="29"/>
  <c r="AA486" i="29" s="1"/>
  <c r="U367" i="29"/>
  <c r="V367" i="29"/>
  <c r="V270" i="29"/>
  <c r="U270" i="29"/>
  <c r="U117" i="29"/>
  <c r="V117" i="29"/>
  <c r="U373" i="29"/>
  <c r="V373" i="29"/>
  <c r="U601" i="29"/>
  <c r="V601" i="29"/>
  <c r="V600" i="29"/>
  <c r="U600" i="29"/>
  <c r="U589" i="29"/>
  <c r="V589" i="29"/>
  <c r="U262" i="29"/>
  <c r="V262" i="29"/>
  <c r="AE419" i="29"/>
  <c r="I128" i="25"/>
  <c r="AE357" i="29"/>
  <c r="U448" i="29"/>
  <c r="V448" i="29"/>
  <c r="U241" i="29"/>
  <c r="AG241" i="29" s="1"/>
  <c r="V241" i="29"/>
  <c r="U397" i="29"/>
  <c r="V397" i="29"/>
  <c r="AE379" i="29"/>
  <c r="F76" i="23"/>
  <c r="G76" i="23" s="1"/>
  <c r="H76" i="23" s="1"/>
  <c r="U529" i="29"/>
  <c r="X470" i="29"/>
  <c r="Y470" i="29" s="1"/>
  <c r="U297" i="29"/>
  <c r="V297" i="29"/>
  <c r="U543" i="29"/>
  <c r="V543" i="29"/>
  <c r="AH195" i="29"/>
  <c r="X195" i="29"/>
  <c r="Y195" i="29" s="1"/>
  <c r="AE364" i="29"/>
  <c r="U450" i="29"/>
  <c r="V450" i="29"/>
  <c r="U524" i="29"/>
  <c r="V524" i="29"/>
  <c r="U355" i="29"/>
  <c r="V355" i="29"/>
  <c r="U607" i="29"/>
  <c r="V607" i="29"/>
  <c r="X607" i="29" s="1"/>
  <c r="Y607" i="29" s="1"/>
  <c r="AH474" i="29"/>
  <c r="X36" i="29"/>
  <c r="Y36" i="29" s="1"/>
  <c r="AH36" i="29"/>
  <c r="I129" i="25"/>
  <c r="AO229" i="29"/>
  <c r="V229" i="29" s="1"/>
  <c r="AD567" i="29"/>
  <c r="V307" i="29"/>
  <c r="U307" i="29"/>
  <c r="U591" i="29"/>
  <c r="V591" i="29"/>
  <c r="U514" i="29"/>
  <c r="V514" i="29"/>
  <c r="AE472" i="29"/>
  <c r="AH602" i="29"/>
  <c r="AD56" i="29"/>
  <c r="U416" i="29"/>
  <c r="V416" i="29"/>
  <c r="U356" i="29"/>
  <c r="AG356" i="29" s="1"/>
  <c r="V356" i="29"/>
  <c r="U566" i="29"/>
  <c r="V566" i="29"/>
  <c r="J89" i="23"/>
  <c r="K89" i="23" s="1"/>
  <c r="V319" i="29"/>
  <c r="U319" i="29"/>
  <c r="U289" i="29"/>
  <c r="V289" i="29"/>
  <c r="U480" i="29"/>
  <c r="V480" i="29"/>
  <c r="U538" i="29"/>
  <c r="V538" i="29"/>
  <c r="X328" i="29"/>
  <c r="Y328" i="29" s="1"/>
  <c r="AH328" i="29"/>
  <c r="AH415" i="29"/>
  <c r="X415" i="29"/>
  <c r="Y415" i="29" s="1"/>
  <c r="J98" i="23"/>
  <c r="K98" i="23" s="1"/>
  <c r="U489" i="29"/>
  <c r="N21" i="23"/>
  <c r="O21" i="23" s="1"/>
  <c r="P21" i="23" s="1"/>
  <c r="Q21" i="23" s="1"/>
  <c r="U455" i="29"/>
  <c r="V455" i="29"/>
  <c r="U337" i="29"/>
  <c r="V337" i="29"/>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V107" i="29"/>
  <c r="U107" i="29"/>
  <c r="U460" i="29"/>
  <c r="V460" i="29"/>
  <c r="V546" i="29"/>
  <c r="U546" i="29"/>
  <c r="AE543" i="29"/>
  <c r="AE536" i="29"/>
  <c r="U358" i="29"/>
  <c r="V358" i="29"/>
  <c r="W602" i="29"/>
  <c r="AA602"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U249" i="29"/>
  <c r="V249" i="29"/>
  <c r="AH249" i="29" s="1"/>
  <c r="U332" i="29"/>
  <c r="AG332" i="29" s="1"/>
  <c r="V332" i="29"/>
  <c r="AH332" i="29" s="1"/>
  <c r="V532" i="29"/>
  <c r="U532" i="29"/>
  <c r="U350" i="29"/>
  <c r="V350" i="29"/>
  <c r="U558" i="29"/>
  <c r="V558" i="29"/>
  <c r="AE356" i="29"/>
  <c r="U420" i="29"/>
  <c r="V420" i="29"/>
  <c r="R33" i="23"/>
  <c r="N33" i="23"/>
  <c r="O33" i="23" s="1"/>
  <c r="P33" i="23" s="1"/>
  <c r="Q33" i="23" s="1"/>
  <c r="AE506" i="29"/>
  <c r="J66" i="23"/>
  <c r="I44" i="25"/>
  <c r="J44" i="23"/>
  <c r="K44" i="23" s="1"/>
  <c r="U320" i="29"/>
  <c r="V320" i="29"/>
  <c r="AD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AG132"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AH237" i="29" s="1"/>
  <c r="V194" i="29"/>
  <c r="U194" i="29"/>
  <c r="AG194" i="29" s="1"/>
  <c r="U406" i="29"/>
  <c r="V406" i="29"/>
  <c r="V584" i="29"/>
  <c r="U584" i="29"/>
  <c r="U274" i="29"/>
  <c r="V274" i="29"/>
  <c r="AE568" i="29"/>
  <c r="R44" i="23"/>
  <c r="N44" i="23"/>
  <c r="O44" i="23" s="1"/>
  <c r="P44" i="23" s="1"/>
  <c r="Q44" i="23" s="1"/>
  <c r="AE480" i="29"/>
  <c r="I182" i="25"/>
  <c r="K8" i="2"/>
  <c r="A28" i="16" s="1"/>
  <c r="AO42" i="29"/>
  <c r="AO46" i="29"/>
  <c r="U46" i="29" s="1"/>
  <c r="V220" i="29"/>
  <c r="U220" i="29"/>
  <c r="AG220" i="29" s="1"/>
  <c r="U590" i="29"/>
  <c r="V590" i="29"/>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O270" i="25"/>
  <c r="R270" i="25" s="1"/>
  <c r="J9" i="23"/>
  <c r="K9" i="23" s="1"/>
  <c r="U359" i="29"/>
  <c r="U125" i="29"/>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144" i="29"/>
  <c r="Y144" i="29" s="1"/>
  <c r="AH144" i="29"/>
  <c r="W290" i="29"/>
  <c r="AG290" i="29"/>
  <c r="U573" i="29"/>
  <c r="V573" i="29"/>
  <c r="U376" i="29"/>
  <c r="V376" i="29"/>
  <c r="U606" i="29"/>
  <c r="V606" i="29"/>
  <c r="U440" i="29"/>
  <c r="V440" i="29"/>
  <c r="W192" i="29"/>
  <c r="AG192" i="29"/>
  <c r="W542" i="29"/>
  <c r="AG542" i="29"/>
  <c r="W270" i="29"/>
  <c r="AG270" i="29"/>
  <c r="X273" i="29"/>
  <c r="Y273" i="29" s="1"/>
  <c r="AH273" i="29"/>
  <c r="AO147" i="29"/>
  <c r="V147" i="29" s="1"/>
  <c r="U537" i="29"/>
  <c r="V537" i="29"/>
  <c r="V508" i="29"/>
  <c r="U508" i="29"/>
  <c r="V496" i="29"/>
  <c r="U496" i="29"/>
  <c r="U603" i="29"/>
  <c r="V603" i="29"/>
  <c r="AE623" i="29"/>
  <c r="X239" i="29"/>
  <c r="Y239" i="29" s="1"/>
  <c r="AH239" i="29"/>
  <c r="AH296" i="29"/>
  <c r="X296" i="29"/>
  <c r="Y296" i="29" s="1"/>
  <c r="AG246" i="29"/>
  <c r="U563" i="29"/>
  <c r="V563" i="29"/>
  <c r="X232" i="29"/>
  <c r="Y232" i="29" s="1"/>
  <c r="AH232" i="29"/>
  <c r="U303" i="29"/>
  <c r="V303" i="29"/>
  <c r="AH303" i="29" s="1"/>
  <c r="U522" i="29"/>
  <c r="V522" i="29"/>
  <c r="U78" i="29"/>
  <c r="V78" i="29"/>
  <c r="U378" i="29"/>
  <c r="V378" i="29"/>
  <c r="AH278" i="29"/>
  <c r="AH242" i="29"/>
  <c r="X233" i="29"/>
  <c r="Y233" i="29" s="1"/>
  <c r="AH233" i="29"/>
  <c r="V250" i="29"/>
  <c r="U250" i="29"/>
  <c r="U83" i="29"/>
  <c r="V83" i="29"/>
  <c r="V179" i="29"/>
  <c r="U179" i="29"/>
  <c r="W562" i="29"/>
  <c r="AG562" i="29"/>
  <c r="W295" i="29"/>
  <c r="AG295" i="29"/>
  <c r="V505" i="29"/>
  <c r="U505" i="29"/>
  <c r="V557" i="29"/>
  <c r="V228" i="29"/>
  <c r="U228" i="29"/>
  <c r="U202" i="29"/>
  <c r="V202" i="29"/>
  <c r="U312" i="29"/>
  <c r="V312" i="29"/>
  <c r="AG434" i="29"/>
  <c r="W18" i="29"/>
  <c r="AA18" i="29" s="1"/>
  <c r="AG18"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U167" i="29"/>
  <c r="V75" i="29"/>
  <c r="U75" i="29"/>
  <c r="U142" i="29"/>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W220"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H310" i="29"/>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AG313" i="29" l="1"/>
  <c r="AG253" i="29"/>
  <c r="AG44" i="29"/>
  <c r="W401" i="29"/>
  <c r="X253" i="29"/>
  <c r="Y253" i="29" s="1"/>
  <c r="W490" i="29"/>
  <c r="AA490" i="29" s="1"/>
  <c r="AH257" i="29"/>
  <c r="AG189" i="29"/>
  <c r="AH369" i="29"/>
  <c r="AH62" i="29"/>
  <c r="W298" i="29"/>
  <c r="AA298" i="29" s="1"/>
  <c r="X71" i="29"/>
  <c r="Y71" i="29" s="1"/>
  <c r="X37" i="29"/>
  <c r="Y37" i="29" s="1"/>
  <c r="W460" i="29"/>
  <c r="AA460" i="29" s="1"/>
  <c r="AG342" i="29"/>
  <c r="X447" i="29"/>
  <c r="Y447" i="29" s="1"/>
  <c r="AG276" i="29"/>
  <c r="X282" i="29"/>
  <c r="Y282" i="29" s="1"/>
  <c r="W122" i="29"/>
  <c r="AA122" i="29" s="1"/>
  <c r="AH446" i="29"/>
  <c r="AH399" i="29"/>
  <c r="X337" i="29"/>
  <c r="Y337" i="29" s="1"/>
  <c r="W373" i="29"/>
  <c r="AA373" i="29" s="1"/>
  <c r="AH192" i="29"/>
  <c r="AG543" i="29"/>
  <c r="X399" i="29"/>
  <c r="Y399" i="29" s="1"/>
  <c r="W24" i="29"/>
  <c r="AA24" i="29" s="1"/>
  <c r="AG297" i="29"/>
  <c r="AH322" i="29"/>
  <c r="X389" i="29"/>
  <c r="Y389" i="29" s="1"/>
  <c r="AH570" i="29"/>
  <c r="X411" i="29"/>
  <c r="Y411" i="29" s="1"/>
  <c r="AH333" i="29"/>
  <c r="AH368" i="29"/>
  <c r="X381" i="29"/>
  <c r="Y381" i="29" s="1"/>
  <c r="AG168" i="29"/>
  <c r="AH567" i="29"/>
  <c r="AH590" i="29"/>
  <c r="AH381" i="29"/>
  <c r="W446" i="29"/>
  <c r="AA446" i="29" s="1"/>
  <c r="W354" i="29"/>
  <c r="AA354" i="29" s="1"/>
  <c r="AG371" i="29"/>
  <c r="AG478" i="29"/>
  <c r="AH613" i="29"/>
  <c r="X297" i="29"/>
  <c r="Y297" i="29" s="1"/>
  <c r="X353" i="29"/>
  <c r="Y353" i="29" s="1"/>
  <c r="X258" i="29"/>
  <c r="Y258" i="29" s="1"/>
  <c r="W322" i="29"/>
  <c r="AA322" i="29" s="1"/>
  <c r="X132" i="29"/>
  <c r="Y132" i="29" s="1"/>
  <c r="W417" i="29"/>
  <c r="AA417" i="29" s="1"/>
  <c r="X194" i="29"/>
  <c r="Y194" i="29" s="1"/>
  <c r="AG62" i="29"/>
  <c r="W279" i="29"/>
  <c r="AA279" i="29" s="1"/>
  <c r="W436" i="29"/>
  <c r="AA436" i="29" s="1"/>
  <c r="X18" i="29"/>
  <c r="Y18" i="29" s="1"/>
  <c r="AG142" i="29"/>
  <c r="AH503" i="29"/>
  <c r="AG257" i="29"/>
  <c r="AH552" i="29"/>
  <c r="X491" i="29"/>
  <c r="Y491" i="29" s="1"/>
  <c r="X137" i="29"/>
  <c r="Y137" i="29" s="1"/>
  <c r="AH155" i="29"/>
  <c r="AH130" i="29"/>
  <c r="AH329" i="29"/>
  <c r="AH347" i="29"/>
  <c r="X343" i="29"/>
  <c r="Y343" i="29" s="1"/>
  <c r="AH15" i="29"/>
  <c r="AG15" i="29"/>
  <c r="AH412" i="29"/>
  <c r="W278" i="29"/>
  <c r="AA278" i="29" s="1"/>
  <c r="X371" i="29"/>
  <c r="Y371" i="29" s="1"/>
  <c r="AH411" i="29"/>
  <c r="AG545" i="29"/>
  <c r="W143" i="29"/>
  <c r="AA143" i="29" s="1"/>
  <c r="AH53" i="29"/>
  <c r="AG598" i="29"/>
  <c r="X252" i="29"/>
  <c r="Y252" i="29" s="1"/>
  <c r="AH292" i="29"/>
  <c r="AH469" i="29"/>
  <c r="AH107" i="29"/>
  <c r="AH280" i="29"/>
  <c r="W230" i="29"/>
  <c r="AA230" i="29" s="1"/>
  <c r="AG266" i="29"/>
  <c r="AG259" i="29"/>
  <c r="W57" i="29"/>
  <c r="AA57" i="29" s="1"/>
  <c r="X293" i="29"/>
  <c r="Y293" i="29" s="1"/>
  <c r="AG570" i="29"/>
  <c r="AG72" i="29"/>
  <c r="AG292" i="29"/>
  <c r="AG477" i="29"/>
  <c r="W419" i="29"/>
  <c r="AA419" i="29" s="1"/>
  <c r="AG609" i="29"/>
  <c r="W453" i="29"/>
  <c r="AA453" i="29" s="1"/>
  <c r="AG201" i="29"/>
  <c r="W547" i="29"/>
  <c r="AA547" i="29" s="1"/>
  <c r="X467" i="29"/>
  <c r="Y467" i="29" s="1"/>
  <c r="AG88" i="29"/>
  <c r="W144" i="29"/>
  <c r="AA144" i="29" s="1"/>
  <c r="AG501" i="29"/>
  <c r="W302" i="29"/>
  <c r="AA302" i="29" s="1"/>
  <c r="AH167" i="29"/>
  <c r="AG541" i="29"/>
  <c r="W180" i="29"/>
  <c r="AA180" i="29" s="1"/>
  <c r="W293" i="29"/>
  <c r="AA293" i="29" s="1"/>
  <c r="AG516" i="29"/>
  <c r="AH536" i="29"/>
  <c r="X395" i="29"/>
  <c r="Y395" i="29" s="1"/>
  <c r="AH97" i="29"/>
  <c r="W282" i="29"/>
  <c r="AA282" i="29" s="1"/>
  <c r="AG125" i="29"/>
  <c r="AH169" i="29"/>
  <c r="AH302" i="29"/>
  <c r="X408" i="29"/>
  <c r="Y408" i="29" s="1"/>
  <c r="W326" i="29"/>
  <c r="AA326" i="29" s="1"/>
  <c r="W334" i="29"/>
  <c r="AA334" i="29" s="1"/>
  <c r="AG488" i="29"/>
  <c r="AH244" i="29"/>
  <c r="AH402" i="29"/>
  <c r="AG566" i="29"/>
  <c r="W491" i="29"/>
  <c r="AA491" i="29" s="1"/>
  <c r="X327" i="29"/>
  <c r="Y327" i="29" s="1"/>
  <c r="AG77" i="29"/>
  <c r="W312" i="29"/>
  <c r="AA312" i="29" s="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AA518" i="29" s="1"/>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A41" i="29" s="1"/>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A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A297" i="29" s="1"/>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A447" i="29" s="1"/>
  <c r="AH609" i="29"/>
  <c r="AE403" i="29"/>
  <c r="X403" i="29"/>
  <c r="Y403" i="29" s="1"/>
  <c r="AD239" i="29"/>
  <c r="W239" i="29"/>
  <c r="AE150" i="29"/>
  <c r="X150" i="29"/>
  <c r="Y150" i="29" s="1"/>
  <c r="AE335" i="29"/>
  <c r="X335" i="29"/>
  <c r="Y335" i="29" s="1"/>
  <c r="AE145" i="29"/>
  <c r="AE411" i="29"/>
  <c r="AD155" i="29"/>
  <c r="W155" i="29"/>
  <c r="AA155" i="29" s="1"/>
  <c r="AD286" i="29"/>
  <c r="W286" i="29"/>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AA284" i="29" s="1"/>
  <c r="X256" i="29"/>
  <c r="Y256" i="29" s="1"/>
  <c r="W524" i="29"/>
  <c r="AA524" i="29" s="1"/>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AA545" i="29" s="1"/>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G60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110" i="24"/>
  <c r="CG110" i="24"/>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Q222" i="25"/>
  <c r="R222" i="25"/>
  <c r="R308" i="25"/>
  <c r="Q308" i="25"/>
  <c r="R240" i="25"/>
  <c r="S240" i="25"/>
  <c r="K240" i="25" s="1"/>
  <c r="AD240" i="25" s="1"/>
  <c r="AG557" i="29"/>
  <c r="W557" i="29"/>
  <c r="AA342" i="29"/>
  <c r="AG563" i="29"/>
  <c r="W563" i="29"/>
  <c r="AH508" i="29"/>
  <c r="X508" i="29"/>
  <c r="Y508" i="29" s="1"/>
  <c r="AH440" i="29"/>
  <c r="X440" i="29"/>
  <c r="Y440" i="29" s="1"/>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X378" i="29"/>
  <c r="Y378" i="29" s="1"/>
  <c r="AH378" i="29"/>
  <c r="X522" i="29"/>
  <c r="Y522" i="29" s="1"/>
  <c r="AH522" i="29"/>
  <c r="AG312" i="29"/>
  <c r="AA256" i="29"/>
  <c r="AA270" i="29"/>
  <c r="W440" i="29"/>
  <c r="AG440" i="29"/>
  <c r="AH505" i="29"/>
  <c r="X505" i="29"/>
  <c r="Y505" i="29" s="1"/>
  <c r="W179" i="29"/>
  <c r="AG179" i="29"/>
  <c r="W378" i="29"/>
  <c r="AG378" i="29"/>
  <c r="AA570"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A295" i="29"/>
  <c r="AH179" i="29"/>
  <c r="X179" i="29"/>
  <c r="Y179" i="29" s="1"/>
  <c r="AA280" i="29"/>
  <c r="X303" i="29"/>
  <c r="Y303" i="29" s="1"/>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G603" i="29"/>
  <c r="W603" i="29"/>
  <c r="AG537" i="29"/>
  <c r="W537" i="29"/>
  <c r="AH376" i="29"/>
  <c r="X376" i="29"/>
  <c r="Y376" i="29" s="1"/>
  <c r="X286" i="29"/>
  <c r="Y286" i="29" s="1"/>
  <c r="AH286" i="29"/>
  <c r="S145" i="25"/>
  <c r="K145" i="25" s="1"/>
  <c r="W145" i="25" s="1"/>
  <c r="Z145" i="25" s="1"/>
  <c r="AA145" i="25" s="1"/>
  <c r="AB145" i="25" s="1"/>
  <c r="S232" i="25"/>
  <c r="K232" i="25" s="1"/>
  <c r="S250" i="25"/>
  <c r="K250" i="25" s="1"/>
  <c r="W250" i="25" s="1"/>
  <c r="Z250" i="25" s="1"/>
  <c r="AA250" i="25" s="1"/>
  <c r="AB250" i="25" s="1"/>
  <c r="AH37" i="29"/>
  <c r="W228" i="29"/>
  <c r="AA228" i="29" s="1"/>
  <c r="AG228" i="29"/>
  <c r="AA195" i="29"/>
  <c r="AG83" i="29"/>
  <c r="W83" i="29"/>
  <c r="W303" i="29"/>
  <c r="AG303" i="29"/>
  <c r="AA575" i="29"/>
  <c r="AG496" i="29"/>
  <c r="W496" i="29"/>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H34" i="29"/>
  <c r="X34" i="29"/>
  <c r="Y34" i="29" s="1"/>
  <c r="X157" i="29"/>
  <c r="Y157" i="29" s="1"/>
  <c r="AH157" i="29"/>
  <c r="W149" i="29"/>
  <c r="AG149" i="29"/>
  <c r="AG187" i="29"/>
  <c r="W187" i="29"/>
  <c r="U116" i="29"/>
  <c r="V116" i="29"/>
  <c r="AG199" i="29"/>
  <c r="W199"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AA401"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CG141" i="24"/>
  <c r="C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J23" i="29" l="1"/>
  <c r="AK23" i="29" s="1"/>
  <c r="AK371" i="29"/>
  <c r="AJ446" i="29"/>
  <c r="AK446" i="29" s="1"/>
  <c r="AJ279" i="29"/>
  <c r="AK279" i="29" s="1"/>
  <c r="AJ278" i="29"/>
  <c r="AK278" i="29" s="1"/>
  <c r="AJ143" i="29"/>
  <c r="AK143" i="29" s="1"/>
  <c r="AJ347" i="29"/>
  <c r="AK347" i="29" s="1"/>
  <c r="AJ453" i="29"/>
  <c r="AK453" i="29" s="1"/>
  <c r="AJ293" i="29"/>
  <c r="AK293" i="29" s="1"/>
  <c r="AJ482" i="29"/>
  <c r="AK482" i="29" s="1"/>
  <c r="AJ546" i="29"/>
  <c r="AK546" i="29" s="1"/>
  <c r="AJ282" i="29"/>
  <c r="AK282" i="29" s="1"/>
  <c r="AA348" i="29"/>
  <c r="AJ144" i="29"/>
  <c r="AK144" i="29" s="1"/>
  <c r="AJ40" i="29"/>
  <c r="AK40" i="29" s="1"/>
  <c r="AJ325" i="29"/>
  <c r="AK325" i="29" s="1"/>
  <c r="AJ294" i="29"/>
  <c r="AK294" i="29" s="1"/>
  <c r="AJ330" i="29"/>
  <c r="AK330" i="29" s="1"/>
  <c r="AA294" i="29"/>
  <c r="AJ312" i="29"/>
  <c r="AK312" i="29" s="1"/>
  <c r="AJ490" i="29"/>
  <c r="AK490" i="29" s="1"/>
  <c r="AJ575" i="29"/>
  <c r="AK575" i="29" s="1"/>
  <c r="AJ547" i="29"/>
  <c r="AK547" i="29" s="1"/>
  <c r="AJ304" i="29"/>
  <c r="AK304" i="29" s="1"/>
  <c r="AJ311" i="29"/>
  <c r="AK311" i="29" s="1"/>
  <c r="AJ605" i="29"/>
  <c r="AK605" i="29" s="1"/>
  <c r="AJ93" i="29"/>
  <c r="AK93" i="29" s="1"/>
  <c r="AJ297" i="29"/>
  <c r="AK297" i="29" s="1"/>
  <c r="AJ476" i="29"/>
  <c r="AK476" i="29" s="1"/>
  <c r="AA370" i="29"/>
  <c r="AJ286" i="29"/>
  <c r="AK286" i="29" s="1"/>
  <c r="AJ561" i="29"/>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B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10" i="25"/>
  <c r="CJ123" i="25"/>
  <c r="CI113" i="25"/>
  <c r="CJ114" i="25"/>
  <c r="CJ113" i="25"/>
  <c r="CI114" i="25"/>
  <c r="CJ115" i="25"/>
  <c r="CI117" i="25"/>
  <c r="CI116" i="25"/>
  <c r="CI118" i="25"/>
  <c r="CI124" i="25"/>
  <c r="CI123" i="25"/>
  <c r="CI204" i="25"/>
  <c r="CI115" i="25"/>
  <c r="CI191" i="25"/>
  <c r="CI129" i="25"/>
  <c r="CI110" i="25"/>
  <c r="CJ204" i="25"/>
  <c r="CJ118" i="25"/>
  <c r="CJ124" i="25"/>
  <c r="CJ116" i="25"/>
  <c r="CJ117" i="25"/>
  <c r="CJ128" i="25"/>
  <c r="CI128"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AJ60" i="29" l="1"/>
  <c r="AK60" i="29" s="1"/>
  <c r="AJ338" i="29"/>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93" i="25"/>
  <c r="CI220" i="25"/>
  <c r="CI265" i="25"/>
  <c r="CI227" i="25"/>
  <c r="CI273" i="25"/>
  <c r="CI231" i="25"/>
  <c r="CI306" i="25"/>
  <c r="CI247" i="25"/>
  <c r="CI312"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CI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R306" i="25" s="1"/>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BM110" i="25" s="1"/>
  <c r="AY182" i="25"/>
  <c r="AW182" i="25"/>
  <c r="AR230" i="25"/>
  <c r="AP230" i="25"/>
  <c r="AJ40" i="25"/>
  <c r="AM40" i="25"/>
  <c r="AM23" i="25"/>
  <c r="BM23" i="25" s="1"/>
  <c r="AJ23" i="25"/>
  <c r="AM190" i="25"/>
  <c r="AJ190" i="25"/>
  <c r="AR298" i="25"/>
  <c r="AP298" i="25"/>
  <c r="AJ246" i="25"/>
  <c r="AM246" i="25"/>
  <c r="CI246" i="25" s="1"/>
  <c r="AM90" i="25"/>
  <c r="AJ90" i="25"/>
  <c r="AJ20" i="25"/>
  <c r="AM20" i="25"/>
  <c r="BM20" i="25" s="1"/>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CI187" i="25" l="1"/>
  <c r="BM133" i="25"/>
  <c r="CI133" i="25"/>
  <c r="AR132" i="25"/>
  <c r="AT132" i="25" s="1"/>
  <c r="BA132" i="25" s="1"/>
  <c r="BJ132" i="25"/>
  <c r="BI132" i="25"/>
  <c r="BX132" i="25"/>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BN141" i="24" s="1"/>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AU132" i="25" l="1"/>
  <c r="BN138" i="24"/>
  <c r="CG138" i="24"/>
  <c r="AU241" i="25"/>
  <c r="AU294" i="25"/>
  <c r="BN17" i="24"/>
  <c r="CG17" i="24"/>
  <c r="AU102" i="25"/>
  <c r="BD102" i="25" s="1"/>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BF102" i="25" l="1"/>
  <c r="BQ102" i="25" s="1"/>
  <c r="BE102" i="25"/>
  <c r="BP102" i="25" s="1"/>
  <c r="AW299" i="24"/>
  <c r="BD299" i="24"/>
  <c r="AW92" i="24"/>
  <c r="BG92" i="24" s="1"/>
  <c r="BD136" i="25"/>
  <c r="BH136" i="25" s="1"/>
  <c r="BN136" i="25" s="1"/>
  <c r="BF136" i="25"/>
  <c r="BW136" i="25" s="1"/>
  <c r="BD167" i="25"/>
  <c r="BU167" i="25" s="1"/>
  <c r="BF167" i="25"/>
  <c r="BW167" i="25" s="1"/>
  <c r="CA110" i="24"/>
  <c r="CC110" i="24" s="1"/>
  <c r="CD110" i="24" s="1"/>
  <c r="BD117" i="25"/>
  <c r="BU117" i="25" s="1"/>
  <c r="BE117" i="25"/>
  <c r="BV117" i="25" s="1"/>
  <c r="BE165" i="25"/>
  <c r="BV165" i="25" s="1"/>
  <c r="BD165" i="25"/>
  <c r="BH165" i="25" s="1"/>
  <c r="BN165" i="25" s="1"/>
  <c r="BW102" i="25"/>
  <c r="BV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BT102" i="25" l="1"/>
  <c r="BU136" i="25"/>
  <c r="BZ136" i="25" s="1"/>
  <c r="AY92" i="24"/>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Y136" i="25" l="1"/>
  <c r="CC136" i="25" s="1"/>
  <c r="CE136" i="25" s="1"/>
  <c r="CF136" i="25" s="1"/>
  <c r="BU92" i="24"/>
  <c r="BX92" i="24" s="1"/>
  <c r="BZ92" i="24" s="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B136"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CJ202" i="25"/>
  <c r="BI142" i="24"/>
  <c r="CF196" i="25"/>
  <c r="CJ196" i="25"/>
  <c r="BI94" i="24"/>
  <c r="BO180" i="25"/>
  <c r="BU80" i="24"/>
  <c r="BX80" i="24" s="1"/>
  <c r="BZ80" i="24" s="1"/>
  <c r="BU113" i="24"/>
  <c r="BO210" i="25"/>
  <c r="CJ174"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187" i="25" l="1"/>
  <c r="CJ207" i="25"/>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F110" i="25" s="1"/>
  <c r="CC22" i="25"/>
  <c r="CE22" i="25" s="1"/>
  <c r="CC54" i="25"/>
  <c r="CE54" i="25" s="1"/>
  <c r="CF54" i="25" s="1"/>
  <c r="CB113" i="25"/>
  <c r="CC133" i="25"/>
  <c r="CE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CD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F133" i="25" l="1"/>
  <c r="CJ133" i="25"/>
  <c r="CD138" i="24"/>
  <c r="CH138" i="24"/>
  <c r="CJ194" i="25"/>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<sst xmlns="http://schemas.openxmlformats.org/spreadsheetml/2006/main" count="1554" uniqueCount="862">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</sst>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43" xfId="4" applyFont="1" applyFill="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81" xfId="4" applyFont="1" applyFill="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96.720751086806928</c:v>
                </c:pt>
                <c:pt idx="1">
                  <c:v>89.926076113953485</c:v>
                </c:pt>
                <c:pt idx="2">
                  <c:v>89.276580320059566</c:v>
                </c:pt>
                <c:pt idx="3">
                  <c:v>88.605899561093636</c:v>
                </c:pt>
                <c:pt idx="4">
                  <c:v>87.916953348174616</c:v>
                </c:pt>
                <c:pt idx="5">
                  <c:v>87.210902326343088</c:v>
                </c:pt>
                <c:pt idx="6">
                  <c:v>86.490870394946739</c:v>
                </c:pt>
                <c:pt idx="7">
                  <c:v>85.758324250698564</c:v>
                </c:pt>
                <c:pt idx="8">
                  <c:v>85.015533599195763</c:v>
                </c:pt>
                <c:pt idx="9">
                  <c:v>84.263469928296914</c:v>
                </c:pt>
                <c:pt idx="10">
                  <c:v>83.503904945375552</c:v>
                </c:pt>
                <c:pt idx="11">
                  <c:v>82.737897455481601</c:v>
                </c:pt>
                <c:pt idx="12">
                  <c:v>81.966041970645435</c:v>
                </c:pt>
                <c:pt idx="13">
                  <c:v>81.189939716474328</c:v>
                </c:pt>
                <c:pt idx="14">
                  <c:v>80.409705516183891</c:v>
                </c:pt>
                <c:pt idx="15">
                  <c:v>79.626260528429398</c:v>
                </c:pt>
                <c:pt idx="16">
                  <c:v>78.840068583505712</c:v>
                </c:pt>
                <c:pt idx="17">
                  <c:v>78.051686103991514</c:v>
                </c:pt>
                <c:pt idx="18">
                  <c:v>77.261257682780609</c:v>
                </c:pt>
                <c:pt idx="19">
                  <c:v>76.469308981588057</c:v>
                </c:pt>
                <c:pt idx="20">
                  <c:v>75.675944482548559</c:v>
                </c:pt>
                <c:pt idx="21">
                  <c:v>74.881545149369714</c:v>
                </c:pt>
                <c:pt idx="22">
                  <c:v>74.086124069627814</c:v>
                </c:pt>
                <c:pt idx="23">
                  <c:v>73.290030326423249</c:v>
                </c:pt>
                <c:pt idx="24">
                  <c:v>72.493188013032167</c:v>
                </c:pt>
                <c:pt idx="25">
                  <c:v>71.695825663448957</c:v>
                </c:pt>
                <c:pt idx="26">
                  <c:v>70.897844776239651</c:v>
                </c:pt>
                <c:pt idx="27">
                  <c:v>70.099571774259687</c:v>
                </c:pt>
                <c:pt idx="28">
                  <c:v>69.301035656300428</c:v>
                </c:pt>
                <c:pt idx="29">
                  <c:v>68.502782278626768</c:v>
                </c:pt>
                <c:pt idx="30">
                  <c:v>67.703502539311074</c:v>
                </c:pt>
                <c:pt idx="31">
                  <c:v>66.904346678727805</c:v>
                </c:pt>
                <c:pt idx="32">
                  <c:v>66.104800100143251</c:v>
                </c:pt>
                <c:pt idx="33">
                  <c:v>65.305454812374094</c:v>
                </c:pt>
                <c:pt idx="34">
                  <c:v>64.505712195107989</c:v>
                </c:pt>
                <c:pt idx="35">
                  <c:v>63.706036201594038</c:v>
                </c:pt>
                <c:pt idx="36">
                  <c:v>62.906314789601097</c:v>
                </c:pt>
                <c:pt idx="37">
                  <c:v>62.106124252611025</c:v>
                </c:pt>
                <c:pt idx="38">
                  <c:v>61.306230379176149</c:v>
                </c:pt>
                <c:pt idx="39">
                  <c:v>60.505989186969899</c:v>
                </c:pt>
                <c:pt idx="40">
                  <c:v>59.705700131042676</c:v>
                </c:pt>
                <c:pt idx="41">
                  <c:v>58.905287220129523</c:v>
                </c:pt>
                <c:pt idx="42">
                  <c:v>58.104849152339149</c:v>
                </c:pt>
                <c:pt idx="43">
                  <c:v>57.304134069504691</c:v>
                </c:pt>
                <c:pt idx="44">
                  <c:v>56.503332711668861</c:v>
                </c:pt>
                <c:pt idx="45">
                  <c:v>55.702255180609093</c:v>
                </c:pt>
                <c:pt idx="46">
                  <c:v>54.901027925092777</c:v>
                </c:pt>
                <c:pt idx="47">
                  <c:v>54.099435092413124</c:v>
                </c:pt>
                <c:pt idx="48">
                  <c:v>53.297621357217331</c:v>
                </c:pt>
                <c:pt idx="49">
                  <c:v>52.495318483507177</c:v>
                </c:pt>
                <c:pt idx="50">
                  <c:v>51.692574115469483</c:v>
                </c:pt>
                <c:pt idx="51">
                  <c:v>50.889110128862349</c:v>
                </c:pt>
                <c:pt idx="52">
                  <c:v>50.085074321520139</c:v>
                </c:pt>
                <c:pt idx="53">
                  <c:v>49.280307929971229</c:v>
                </c:pt>
                <c:pt idx="54">
                  <c:v>48.475161315740266</c:v>
                </c:pt>
                <c:pt idx="55">
                  <c:v>47.668095430268679</c:v>
                </c:pt>
                <c:pt idx="56">
                  <c:v>46.860029525266462</c:v>
                </c:pt>
                <c:pt idx="57">
                  <c:v>46.050173608094205</c:v>
                </c:pt>
                <c:pt idx="58">
                  <c:v>45.238824629000135</c:v>
                </c:pt>
                <c:pt idx="59">
                  <c:v>44.42503419895764</c:v>
                </c:pt>
                <c:pt idx="60">
                  <c:v>43.608891583183848</c:v>
                </c:pt>
                <c:pt idx="61">
                  <c:v>42.789857335154565</c:v>
                </c:pt>
                <c:pt idx="62">
                  <c:v>41.967025604282355</c:v>
                </c:pt>
                <c:pt idx="63">
                  <c:v>41.140673590607079</c:v>
                </c:pt>
                <c:pt idx="64">
                  <c:v>40.309593940098701</c:v>
                </c:pt>
                <c:pt idx="65">
                  <c:v>39.473534237551412</c:v>
                </c:pt>
                <c:pt idx="66">
                  <c:v>38.631856047184883</c:v>
                </c:pt>
                <c:pt idx="67">
                  <c:v>37.784136771499362</c:v>
                </c:pt>
                <c:pt idx="68">
                  <c:v>36.929652500974498</c:v>
                </c:pt>
                <c:pt idx="69">
                  <c:v>36.06826685410261</c:v>
                </c:pt>
                <c:pt idx="70">
                  <c:v>35.199606593588165</c:v>
                </c:pt>
                <c:pt idx="71">
                  <c:v>34.323864713647268</c:v>
                </c:pt>
                <c:pt idx="72">
                  <c:v>33.441135448003266</c:v>
                </c:pt>
                <c:pt idx="73">
                  <c:v>32.552219400595092</c:v>
                </c:pt>
                <c:pt idx="74">
                  <c:v>31.657786411507555</c:v>
                </c:pt>
                <c:pt idx="75">
                  <c:v>30.759168527355286</c:v>
                </c:pt>
                <c:pt idx="76">
                  <c:v>29.857600921854285</c:v>
                </c:pt>
                <c:pt idx="77">
                  <c:v>28.954988803434038</c:v>
                </c:pt>
                <c:pt idx="78">
                  <c:v>28.052988542114591</c:v>
                </c:pt>
                <c:pt idx="79">
                  <c:v>27.153811672896278</c:v>
                </c:pt>
                <c:pt idx="80">
                  <c:v>26.257450647473238</c:v>
                </c:pt>
                <c:pt idx="81">
                  <c:v>25.366444653743393</c:v>
                </c:pt>
                <c:pt idx="82">
                  <c:v>24.481185424016051</c:v>
                </c:pt>
                <c:pt idx="83">
                  <c:v>23.60298557848094</c:v>
                </c:pt>
                <c:pt idx="84">
                  <c:v>22.731541111439061</c:v>
                </c:pt>
                <c:pt idx="85">
                  <c:v>21.867436885709598</c:v>
                </c:pt>
                <c:pt idx="86">
                  <c:v>21.010394184785209</c:v>
                </c:pt>
                <c:pt idx="87">
                  <c:v>20.159627661433539</c:v>
                </c:pt>
                <c:pt idx="88">
                  <c:v>19.315487471351148</c:v>
                </c:pt>
                <c:pt idx="89">
                  <c:v>18.476747647361766</c:v>
                </c:pt>
                <c:pt idx="90">
                  <c:v>17.643138939540684</c:v>
                </c:pt>
                <c:pt idx="91">
                  <c:v>16.813987376427672</c:v>
                </c:pt>
                <c:pt idx="92">
                  <c:v>15.988813814322897</c:v>
                </c:pt>
                <c:pt idx="93">
                  <c:v>15.166806796717609</c:v>
                </c:pt>
                <c:pt idx="94">
                  <c:v>14.961840786075442</c:v>
                </c:pt>
                <c:pt idx="95">
                  <c:v>14.85878588910076</c:v>
                </c:pt>
                <c:pt idx="96">
                  <c:v>14.756950587193442</c:v>
                </c:pt>
                <c:pt idx="97">
                  <c:v>14.653986674687236</c:v>
                </c:pt>
                <c:pt idx="98">
                  <c:v>14.552239227198756</c:v>
                </c:pt>
                <c:pt idx="99">
                  <c:v>14.449336492494009</c:v>
                </c:pt>
                <c:pt idx="100">
                  <c:v>14.347647779891023</c:v>
                </c:pt>
                <c:pt idx="101">
                  <c:v>14.244856336593489</c:v>
                </c:pt>
                <c:pt idx="102">
                  <c:v>14.143275285744393</c:v>
                </c:pt>
                <c:pt idx="103">
                  <c:v>14.040492572962116</c:v>
                </c:pt>
                <c:pt idx="104">
                  <c:v>13.938919011779063</c:v>
                </c:pt>
                <c:pt idx="105">
                  <c:v>13.83619830947713</c:v>
                </c:pt>
                <c:pt idx="106">
                  <c:v>13.734684257544636</c:v>
                </c:pt>
                <c:pt idx="107">
                  <c:v>13.63207497434235</c:v>
                </c:pt>
                <c:pt idx="108">
                  <c:v>13.530668676321138</c:v>
                </c:pt>
                <c:pt idx="109">
                  <c:v>13.428147172337184</c:v>
                </c:pt>
                <c:pt idx="110">
                  <c:v>13.32682553060125</c:v>
                </c:pt>
                <c:pt idx="111">
                  <c:v>13.224303375520641</c:v>
                </c:pt>
                <c:pt idx="112">
                  <c:v>13.122980004326593</c:v>
                </c:pt>
                <c:pt idx="113">
                  <c:v>13.020510200796407</c:v>
                </c:pt>
                <c:pt idx="114">
                  <c:v>12.919236855488696</c:v>
                </c:pt>
                <c:pt idx="115">
                  <c:v>12.816803929792556</c:v>
                </c:pt>
                <c:pt idx="116">
                  <c:v>12.715565481554584</c:v>
                </c:pt>
                <c:pt idx="117">
                  <c:v>12.613156322552499</c:v>
                </c:pt>
                <c:pt idx="118">
                  <c:v>12.511939948275934</c:v>
                </c:pt>
                <c:pt idx="119">
                  <c:v>12.409605319791559</c:v>
                </c:pt>
                <c:pt idx="120">
                  <c:v>12.308460592461124</c:v>
                </c:pt>
                <c:pt idx="121">
                  <c:v>12.206187294929538</c:v>
                </c:pt>
                <c:pt idx="122">
                  <c:v>12.105101305523466</c:v>
                </c:pt>
                <c:pt idx="123">
                  <c:v>12.002819314518904</c:v>
                </c:pt>
                <c:pt idx="124">
                  <c:v>11.901723636449741</c:v>
                </c:pt>
                <c:pt idx="125">
                  <c:v>11.799485290451877</c:v>
                </c:pt>
                <c:pt idx="126">
                  <c:v>11.698431034706092</c:v>
                </c:pt>
                <c:pt idx="127">
                  <c:v>11.596228720186312</c:v>
                </c:pt>
                <c:pt idx="128">
                  <c:v>11.495208428347263</c:v>
                </c:pt>
                <c:pt idx="129">
                  <c:v>11.393036130165282</c:v>
                </c:pt>
                <c:pt idx="130">
                  <c:v>11.292043903354269</c:v>
                </c:pt>
                <c:pt idx="131">
                  <c:v>11.189897068722088</c:v>
                </c:pt>
                <c:pt idx="132">
                  <c:v>11.139267218548737</c:v>
                </c:pt>
                <c:pt idx="133">
                  <c:v>11.088928434801893</c:v>
                </c:pt>
                <c:pt idx="134">
                  <c:v>11.037690978129239</c:v>
                </c:pt>
                <c:pt idx="135">
                  <c:v>10.986751428278826</c:v>
                </c:pt>
                <c:pt idx="136">
                  <c:v>10.936106257539436</c:v>
                </c:pt>
                <c:pt idx="137">
                  <c:v>10.885752000483578</c:v>
                </c:pt>
                <c:pt idx="138">
                  <c:v>10.834551857733199</c:v>
                </c:pt>
                <c:pt idx="139">
                  <c:v>10.783648850048216</c:v>
                </c:pt>
                <c:pt idx="140">
                  <c:v>10.733039463312508</c:v>
                </c:pt>
                <c:pt idx="141">
                  <c:v>10.682720245356084</c:v>
                </c:pt>
                <c:pt idx="142">
                  <c:v>10.631504817641282</c:v>
                </c:pt>
                <c:pt idx="143">
                  <c:v>10.580586354866728</c:v>
                </c:pt>
                <c:pt idx="144">
                  <c:v>10.529961345780134</c:v>
                </c:pt>
                <c:pt idx="145">
                  <c:v>10.47962634098946</c:v>
                </c:pt>
                <c:pt idx="146">
                  <c:v>10.428421994366674</c:v>
                </c:pt>
                <c:pt idx="147">
                  <c:v>10.377514129402087</c:v>
                </c:pt>
                <c:pt idx="148">
                  <c:v>10.326899243156554</c:v>
                </c:pt>
                <c:pt idx="149">
                  <c:v>10.276573894337526</c:v>
                </c:pt>
                <c:pt idx="150">
                  <c:v>10.22538108434988</c:v>
                </c:pt>
                <c:pt idx="151">
                  <c:v>10.174484259190971</c:v>
                </c:pt>
                <c:pt idx="152">
                  <c:v>10.123879924379269</c:v>
                </c:pt>
                <c:pt idx="153">
                  <c:v>10.073564646863387</c:v>
                </c:pt>
                <c:pt idx="154">
                  <c:v>10.022360747145544</c:v>
                </c:pt>
                <c:pt idx="155">
                  <c:v>9.971452587156497</c:v>
                </c:pt>
                <c:pt idx="156">
                  <c:v>9.9208366763315894</c:v>
                </c:pt>
                <c:pt idx="157">
                  <c:v>9.8705095854261913</c:v>
                </c:pt>
                <c:pt idx="158">
                  <c:v>9.8192974149826977</c:v>
                </c:pt>
                <c:pt idx="159">
                  <c:v>9.768380696580115</c:v>
                </c:pt>
                <c:pt idx="160">
                  <c:v>9.7177559442250274</c:v>
                </c:pt>
                <c:pt idx="161">
                  <c:v>9.6674197331189546</c:v>
                </c:pt>
                <c:pt idx="162">
                  <c:v>9.6162247780009409</c:v>
                </c:pt>
                <c:pt idx="163">
                  <c:v>9.5653246838277308</c:v>
                </c:pt>
                <c:pt idx="164">
                  <c:v>9.5147159744275296</c:v>
                </c:pt>
                <c:pt idx="165">
                  <c:v>9.4643952345762585</c:v>
                </c:pt>
                <c:pt idx="166">
                  <c:v>9.4131753890458842</c:v>
                </c:pt>
                <c:pt idx="167">
                  <c:v>9.362250286076355</c:v>
                </c:pt>
                <c:pt idx="168">
                  <c:v>9.3116164508766168</c:v>
                </c:pt>
                <c:pt idx="169">
                  <c:v>9.2612704695535477</c:v>
                </c:pt>
                <c:pt idx="170">
                  <c:v>9.2101378005950014</c:v>
                </c:pt>
                <c:pt idx="171">
                  <c:v>9.1592984601479692</c:v>
                </c:pt>
                <c:pt idx="172">
                  <c:v>9.1087489975172513</c:v>
                </c:pt>
                <c:pt idx="173">
                  <c:v>9.058486022328049</c:v>
                </c:pt>
                <c:pt idx="174">
                  <c:v>9.0072498381730313</c:v>
                </c:pt>
                <c:pt idx="175">
                  <c:v>8.9563077399558573</c:v>
                </c:pt>
                <c:pt idx="176">
                  <c:v>8.9056562627282769</c:v>
                </c:pt>
                <c:pt idx="177">
                  <c:v>8.8552920021770003</c:v>
                </c:pt>
                <c:pt idx="178">
                  <c:v>8.8039836762237229</c:v>
                </c:pt>
                <c:pt idx="179">
                  <c:v>8.7529698196584818</c:v>
                </c:pt>
                <c:pt idx="180">
                  <c:v>8.7022469597394903</c:v>
                </c:pt>
                <c:pt idx="181">
                  <c:v>8.6518116845249402</c:v>
                </c:pt>
                <c:pt idx="182">
                  <c:v>8.600660497041881</c:v>
                </c:pt>
                <c:pt idx="183">
                  <c:v>8.5498015292925089</c:v>
                </c:pt>
                <c:pt idx="184">
                  <c:v>8.4992313470014587</c:v>
                </c:pt>
                <c:pt idx="185">
                  <c:v>8.4489465757843458</c:v>
                </c:pt>
                <c:pt idx="186">
                  <c:v>8.3975752242747497</c:v>
                </c:pt>
                <c:pt idx="187">
                  <c:v>8.3464981346957785</c:v>
                </c:pt>
                <c:pt idx="188">
                  <c:v>8.2957118355472925</c:v>
                </c:pt>
                <c:pt idx="189">
                  <c:v>8.2452129160699421</c:v>
                </c:pt>
                <c:pt idx="190">
                  <c:v>8.1940424656498987</c:v>
                </c:pt>
                <c:pt idx="191">
                  <c:v>8.1431635027966109</c:v>
                </c:pt>
                <c:pt idx="192">
                  <c:v>8.0925726034746308</c:v>
                </c:pt>
                <c:pt idx="193">
                  <c:v>8.0422664032734676</c:v>
                </c:pt>
                <c:pt idx="194">
                  <c:v>7.9909338399599772</c:v>
                </c:pt>
                <c:pt idx="195">
                  <c:v>7.9398941071771691</c:v>
                </c:pt>
                <c:pt idx="196">
                  <c:v>7.8891437557658008</c:v>
                </c:pt>
                <c:pt idx="197">
                  <c:v>7.8386793967605719</c:v>
                </c:pt>
                <c:pt idx="198">
                  <c:v>7.7874019685511957</c:v>
                </c:pt>
                <c:pt idx="199">
                  <c:v>7.736416225903378</c:v>
                </c:pt>
                <c:pt idx="200">
                  <c:v>7.6857187381853311</c:v>
                </c:pt>
                <c:pt idx="201">
                  <c:v>7.6353061345169735</c:v>
                </c:pt>
                <c:pt idx="202">
                  <c:v>7.5841039233616216</c:v>
                </c:pt>
                <c:pt idx="203">
                  <c:v>7.5331920119588522</c:v>
                </c:pt>
                <c:pt idx="204">
                  <c:v>7.4825669922874187</c:v>
                </c:pt>
                <c:pt idx="205">
                  <c:v>7.4322255155432</c:v>
                </c:pt>
                <c:pt idx="206">
                  <c:v>7.3809425021600807</c:v>
                </c:pt>
                <c:pt idx="207">
                  <c:v>7.3299501504511166</c:v>
                </c:pt>
                <c:pt idx="208">
                  <c:v>7.2792450441674204</c:v>
                </c:pt>
                <c:pt idx="209">
                  <c:v>7.2288238264564839</c:v>
                </c:pt>
                <c:pt idx="210">
                  <c:v>7.1773180754160126</c:v>
                </c:pt>
                <c:pt idx="211">
                  <c:v>7.126104931682252</c:v>
                </c:pt>
                <c:pt idx="212">
                  <c:v>7.0751809427189061</c:v>
                </c:pt>
                <c:pt idx="213">
                  <c:v>7.0245427162160654</c:v>
                </c:pt>
                <c:pt idx="214">
                  <c:v>6.9731859971452073</c:v>
                </c:pt>
                <c:pt idx="215">
                  <c:v>6.9221196038599553</c:v>
                </c:pt>
                <c:pt idx="216">
                  <c:v>6.8713401218605821</c:v>
                </c:pt>
                <c:pt idx="217">
                  <c:v>6.8208441959841544</c:v>
                </c:pt>
                <c:pt idx="218">
                  <c:v>6.7694867888034267</c:v>
                </c:pt>
                <c:pt idx="219">
                  <c:v>6.7184191003805216</c:v>
                </c:pt>
                <c:pt idx="220">
                  <c:v>6.6676377246120975</c:v>
                </c:pt>
                <c:pt idx="221">
                  <c:v>6.6171393145296395</c:v>
                </c:pt>
                <c:pt idx="222">
                  <c:v>6.5658042170017268</c:v>
                </c:pt>
                <c:pt idx="223">
                  <c:v>6.5147579516801564</c:v>
                </c:pt>
                <c:pt idx="224">
                  <c:v>6.4639971256325275</c:v>
                </c:pt>
                <c:pt idx="225">
                  <c:v>6.4135184047505547</c:v>
                </c:pt>
                <c:pt idx="226">
                  <c:v>6.3620709579485588</c:v>
                </c:pt>
                <c:pt idx="227">
                  <c:v>6.3109129445206946</c:v>
                </c:pt>
                <c:pt idx="228">
                  <c:v>6.2600409584093732</c:v>
                </c:pt>
                <c:pt idx="229">
                  <c:v>6.2094516526775365</c:v>
                </c:pt>
                <c:pt idx="230">
                  <c:v>6.1066817156174356</c:v>
                </c:pt>
                <c:pt idx="231">
                  <c:v>6.0557278397890091</c:v>
                </c:pt>
                <c:pt idx="232">
                  <c:v>6.0050568677781175</c:v>
                </c:pt>
                <c:pt idx="233">
                  <c:v>5.9534726405771341</c:v>
                </c:pt>
                <c:pt idx="234">
                  <c:v>5.9021779797237972</c:v>
                </c:pt>
                <c:pt idx="235">
                  <c:v>5.8511694712433844</c:v>
                </c:pt>
                <c:pt idx="236">
                  <c:v>5.8004437604561945</c:v>
                </c:pt>
                <c:pt idx="237">
                  <c:v>5.7489768746929579</c:v>
                </c:pt>
                <c:pt idx="238">
                  <c:v>5.6977975063970856</c:v>
                </c:pt>
                <c:pt idx="239">
                  <c:v>5.6469022746740603</c:v>
                </c:pt>
                <c:pt idx="240">
                  <c:v>5.596287857159111</c:v>
                </c:pt>
                <c:pt idx="241">
                  <c:v>5.5446675768728104</c:v>
                </c:pt>
                <c:pt idx="242">
                  <c:v>5.4933357591003871</c:v>
                </c:pt>
                <c:pt idx="243">
                  <c:v>5.4422890031628137</c:v>
                </c:pt>
                <c:pt idx="244">
                  <c:v>5.3915239673657407</c:v>
                </c:pt>
                <c:pt idx="245">
                  <c:v>5.3399216798169071</c:v>
                </c:pt>
                <c:pt idx="246">
                  <c:v>5.2886068594748785</c:v>
                </c:pt>
                <c:pt idx="247">
                  <c:v>5.2375761199001243</c:v>
                </c:pt>
                <c:pt idx="248">
                  <c:v>5.1868261333096486</c:v>
                </c:pt>
                <c:pt idx="249">
                  <c:v>5.1351260318024705</c:v>
                </c:pt>
                <c:pt idx="250">
                  <c:v>5.083713659108497</c:v>
                </c:pt>
                <c:pt idx="251">
                  <c:v>5.0325856207213349</c:v>
                </c:pt>
                <c:pt idx="252">
                  <c:v>4.981738580978786</c:v>
                </c:pt>
                <c:pt idx="253">
                  <c:v>4.9301019890511686</c:v>
                </c:pt>
                <c:pt idx="254">
                  <c:v>4.8787515672641728</c:v>
                </c:pt>
                <c:pt idx="255">
                  <c:v>4.8276839449881646</c:v>
                </c:pt>
                <c:pt idx="256">
                  <c:v>4.7768958098911245</c:v>
                </c:pt>
                <c:pt idx="257">
                  <c:v>4.7250789500680472</c:v>
                </c:pt>
                <c:pt idx="258">
                  <c:v>4.6735493661098051</c:v>
                </c:pt>
                <c:pt idx="259">
                  <c:v>4.6223036641204702</c:v>
                </c:pt>
                <c:pt idx="260">
                  <c:v>4.571338509042258</c:v>
                </c:pt>
                <c:pt idx="261">
                  <c:v>4.5195018229494819</c:v>
                </c:pt>
                <c:pt idx="262">
                  <c:v>4.467951707393313</c:v>
                </c:pt>
                <c:pt idx="263">
                  <c:v>4.4166847770081867</c:v>
                </c:pt>
                <c:pt idx="264">
                  <c:v>4.3656977050765002</c:v>
                </c:pt>
                <c:pt idx="265">
                  <c:v>4.3138634393633062</c:v>
                </c:pt>
                <c:pt idx="266">
                  <c:v>4.2623147605488256</c:v>
                </c:pt>
                <c:pt idx="267">
                  <c:v>4.2110482965662817</c:v>
                </c:pt>
                <c:pt idx="268">
                  <c:v>4.1600607336990603</c:v>
                </c:pt>
                <c:pt idx="269">
                  <c:v>4.1081272723023332</c:v>
                </c:pt>
                <c:pt idx="270">
                  <c:v>4.0564794946505494</c:v>
                </c:pt>
                <c:pt idx="271">
                  <c:v>4.0051140227363433</c:v>
                </c:pt>
                <c:pt idx="272">
                  <c:v>3.954027537049285</c:v>
                </c:pt>
                <c:pt idx="273">
                  <c:v>3.9020217101415389</c:v>
                </c:pt>
                <c:pt idx="274">
                  <c:v>3.8503013284778338</c:v>
                </c:pt>
                <c:pt idx="275">
                  <c:v>3.7988630138749784</c:v>
                </c:pt>
                <c:pt idx="276">
                  <c:v>3.7477034466629817</c:v>
                </c:pt>
                <c:pt idx="277">
                  <c:v>3.6957670571694528</c:v>
                </c:pt>
                <c:pt idx="278">
                  <c:v>3.6441142872017913</c:v>
                </c:pt>
                <c:pt idx="279">
                  <c:v>3.5927417863296913</c:v>
                </c:pt>
                <c:pt idx="280">
                  <c:v>3.5416462620118292</c:v>
                </c:pt>
                <c:pt idx="281">
                  <c:v>3.489451593916054</c:v>
                </c:pt>
                <c:pt idx="282">
                  <c:v>3.4375422522758003</c:v>
                </c:pt>
                <c:pt idx="283">
                  <c:v>3.3859148517443707</c:v>
                </c:pt>
                <c:pt idx="284">
                  <c:v>3.3345660656839318</c:v>
                </c:pt>
                <c:pt idx="285">
                  <c:v>3.2824851360839324</c:v>
                </c:pt>
                <c:pt idx="286">
                  <c:v>3.2306871452686203</c:v>
                </c:pt>
                <c:pt idx="287">
                  <c:v>3.1791687453493833</c:v>
                </c:pt>
                <c:pt idx="288">
                  <c:v>3.1279266463030613</c:v>
                </c:pt>
                <c:pt idx="289">
                  <c:v>3.0756430438139537</c:v>
                </c:pt>
                <c:pt idx="290">
                  <c:v>3.0236433853068418</c:v>
                </c:pt>
                <c:pt idx="291">
                  <c:v>2.9719243000868261</c:v>
                </c:pt>
                <c:pt idx="292">
                  <c:v>2.9204824758704517</c:v>
                </c:pt>
                <c:pt idx="293">
                  <c:v>2.8681354214485171</c:v>
                </c:pt>
                <c:pt idx="294">
                  <c:v>2.8160717577801435</c:v>
                </c:pt>
                <c:pt idx="295">
                  <c:v>2.7642881188342763</c:v>
                </c:pt>
                <c:pt idx="296">
                  <c:v>2.7127811969077524</c:v>
                </c:pt>
                <c:pt idx="297">
                  <c:v>2.6603936506547212</c:v>
                </c:pt>
                <c:pt idx="298">
                  <c:v>2.6082886483864449</c:v>
                </c:pt>
                <c:pt idx="299">
                  <c:v>2.5564628338199218</c:v>
                </c:pt>
                <c:pt idx="300">
                  <c:v>2.504912908802055</c:v>
                </c:pt>
                <c:pt idx="301">
                  <c:v>2.4525060547148607</c:v>
                </c:pt>
                <c:pt idx="302">
                  <c:v>2.4003806257583351</c:v>
                </c:pt>
                <c:pt idx="303">
                  <c:v>2.348533280110459</c:v>
                </c:pt>
                <c:pt idx="304">
                  <c:v>2.2969607337758551</c:v>
                </c:pt>
                <c:pt idx="305">
                  <c:v>2.2443530466834578</c:v>
                </c:pt>
                <c:pt idx="306">
                  <c:v>2.1920275600128045</c:v>
                </c:pt>
                <c:pt idx="307">
                  <c:v>2.1399809125998672</c:v>
                </c:pt>
                <c:pt idx="308">
                  <c:v>2.0882098015854322</c:v>
                </c:pt>
                <c:pt idx="309">
                  <c:v>2.0356286630945535</c:v>
                </c:pt>
                <c:pt idx="310">
                  <c:v>1.9833280165224465</c:v>
                </c:pt>
                <c:pt idx="311">
                  <c:v>1.931304525437143</c:v>
                </c:pt>
                <c:pt idx="312">
                  <c:v>1.8795549111775591</c:v>
                </c:pt>
                <c:pt idx="313">
                  <c:v>1.8268237215152121</c:v>
                </c:pt>
                <c:pt idx="314">
                  <c:v>1.7743731466236383</c:v>
                </c:pt>
                <c:pt idx="315">
                  <c:v>1.7221998421001306</c:v>
                </c:pt>
                <c:pt idx="316">
                  <c:v>1.6703005215356093</c:v>
                </c:pt>
                <c:pt idx="317">
                  <c:v>1.6174459774111649</c:v>
                </c:pt>
                <c:pt idx="318">
                  <c:v>1.5648718284445002</c:v>
                </c:pt>
                <c:pt idx="319">
                  <c:v>1.5125747282398279</c:v>
                </c:pt>
                <c:pt idx="320">
                  <c:v>1.4605513884840908</c:v>
                </c:pt>
                <c:pt idx="321">
                  <c:v>1.4075982171271915</c:v>
                </c:pt>
                <c:pt idx="322">
                  <c:v>1.3549249017498675</c:v>
                </c:pt>
                <c:pt idx="323">
                  <c:v>1.3025280995699475</c:v>
                </c:pt>
                <c:pt idx="324">
                  <c:v>1.2504045258515937</c:v>
                </c:pt>
                <c:pt idx="325">
                  <c:v>1.1973755752329884</c:v>
                </c:pt>
                <c:pt idx="326">
                  <c:v>1.1446256443097556</c:v>
                </c:pt>
                <c:pt idx="327">
                  <c:v>1.0921513991479572</c:v>
                </c:pt>
                <c:pt idx="328">
                  <c:v>1.03994956370674</c:v>
                </c:pt>
                <c:pt idx="329">
                  <c:v>0.9867773578851331</c:v>
                </c:pt>
                <c:pt idx="330">
                  <c:v>0.9338839849076751</c:v>
                </c:pt>
                <c:pt idx="331">
                  <c:v>0.88126610801563854</c:v>
                </c:pt>
                <c:pt idx="332">
                  <c:v>0.82892044846385593</c:v>
                </c:pt>
                <c:pt idx="333">
                  <c:v>0.77571653135761021</c:v>
                </c:pt>
                <c:pt idx="334">
                  <c:v>0.72279003566543876</c:v>
                </c:pt>
                <c:pt idx="335">
                  <c:v>0.67013764366547546</c:v>
                </c:pt>
                <c:pt idx="336">
                  <c:v>0.61775609526924935</c:v>
                </c:pt>
                <c:pt idx="337">
                  <c:v>0.5643682185283001</c:v>
                </c:pt>
                <c:pt idx="338">
                  <c:v>0.51125787698546366</c:v>
                </c:pt>
                <c:pt idx="339">
                  <c:v>0.45842174463130719</c:v>
                </c:pt>
                <c:pt idx="340">
                  <c:v>0.40585655334561754</c:v>
                </c:pt>
                <c:pt idx="341">
                  <c:v>0.35231120906038416</c:v>
                </c:pt>
                <c:pt idx="342">
                  <c:v>0.2990431702250621</c:v>
                </c:pt>
                <c:pt idx="343">
                  <c:v>0.24604910865319729</c:v>
                </c:pt>
                <c:pt idx="344">
                  <c:v>0.19332575416758258</c:v>
                </c:pt>
                <c:pt idx="345">
                  <c:v>0.13972895238536265</c:v>
                </c:pt>
                <c:pt idx="346">
                  <c:v>8.6408069400356946E-2</c:v>
                </c:pt>
                <c:pt idx="347">
                  <c:v>3.3359795614742269E-2</c:v>
                </c:pt>
                <c:pt idx="348">
                  <c:v>-1.9419120916199913E-2</c:v>
                </c:pt>
                <c:pt idx="349">
                  <c:v>-7.3209376240973317E-2</c:v>
                </c:pt>
                <c:pt idx="350">
                  <c:v>-0.12672370312653589</c:v>
                </c:pt>
                <c:pt idx="351">
                  <c:v>-0.17996541761250712</c:v>
                </c:pt>
                <c:pt idx="352">
                  <c:v>-0.23293777785627534</c:v>
                </c:pt>
                <c:pt idx="353">
                  <c:v>-0.28689567721177833</c:v>
                </c:pt>
                <c:pt idx="354">
                  <c:v>-0.34057797462341144</c:v>
                </c:pt>
                <c:pt idx="355">
                  <c:v>-0.39398798650659322</c:v>
                </c:pt>
                <c:pt idx="356">
                  <c:v>-0.44712897130005391</c:v>
                </c:pt>
                <c:pt idx="357">
                  <c:v>-0.50115399496603419</c:v>
                </c:pt>
                <c:pt idx="358">
                  <c:v>-0.55490483163723991</c:v>
                </c:pt>
                <c:pt idx="359">
                  <c:v>-0.60838477844452343</c:v>
                </c:pt>
                <c:pt idx="360">
                  <c:v>-0.66159707489896125</c:v>
                </c:pt>
                <c:pt idx="361">
                  <c:v>-0.71582204391760651</c:v>
                </c:pt>
                <c:pt idx="362">
                  <c:v>-0.76977296010765373</c:v>
                </c:pt>
                <c:pt idx="363">
                  <c:v>-0.82345312425143513</c:v>
                </c:pt>
                <c:pt idx="364">
                  <c:v>-0.87686577932919674</c:v>
                </c:pt>
                <c:pt idx="365">
                  <c:v>-0.93119220778531653</c:v>
                </c:pt>
                <c:pt idx="366">
                  <c:v>-0.98524577933161506</c:v>
                </c:pt>
                <c:pt idx="367">
                  <c:v>-1.0390297791539036</c:v>
                </c:pt>
                <c:pt idx="368">
                  <c:v>-1.0925474348958337</c:v>
                </c:pt>
                <c:pt idx="369">
                  <c:v>-1.1471010670004693</c:v>
                </c:pt>
                <c:pt idx="370">
                  <c:v>-1.20138184624961</c:v>
                </c:pt>
                <c:pt idx="371">
                  <c:v>-1.2553930635393034</c:v>
                </c:pt>
                <c:pt idx="372">
                  <c:v>-1.3091379519806148</c:v>
                </c:pt>
                <c:pt idx="373">
                  <c:v>-1.3638225007627045</c:v>
                </c:pt>
                <c:pt idx="374">
                  <c:v>-1.4182352338044091</c:v>
                </c:pt>
                <c:pt idx="375">
                  <c:v>-1.4723794288948187</c:v>
                </c:pt>
                <c:pt idx="376">
                  <c:v>-1.5262583062278297</c:v>
                </c:pt>
                <c:pt idx="377">
                  <c:v>-1.5811930406379051</c:v>
                </c:pt>
                <c:pt idx="378">
                  <c:v>-1.6358558848175455</c:v>
                </c:pt>
                <c:pt idx="379">
                  <c:v>-1.6902501232747902</c:v>
                </c:pt>
                <c:pt idx="380">
                  <c:v>-1.7443789826423348</c:v>
                </c:pt>
                <c:pt idx="381">
                  <c:v>-1.7994019299868313</c:v>
                </c:pt>
                <c:pt idx="382">
                  <c:v>-1.8541545813738838</c:v>
                </c:pt>
                <c:pt idx="383">
                  <c:v>-1.9086401976340526</c:v>
                </c:pt>
                <c:pt idx="384">
                  <c:v>-1.9628619821476188</c:v>
                </c:pt>
                <c:pt idx="385">
                  <c:v>-2.0181571243211964</c:v>
                </c:pt>
                <c:pt idx="386">
                  <c:v>-2.0731818277847105</c:v>
                </c:pt>
                <c:pt idx="387">
                  <c:v>-2.1279393607384582</c:v>
                </c:pt>
                <c:pt idx="388">
                  <c:v>-2.1824329336235015</c:v>
                </c:pt>
                <c:pt idx="389">
                  <c:v>-2.2379086368167038</c:v>
                </c:pt>
                <c:pt idx="390">
                  <c:v>-2.2931147289297775</c:v>
                </c:pt>
                <c:pt idx="391">
                  <c:v>-2.3480544676593849</c:v>
                </c:pt>
                <c:pt idx="392">
                  <c:v>-2.402731053046641</c:v>
                </c:pt>
                <c:pt idx="393">
                  <c:v>-2.4583667891777852</c:v>
                </c:pt>
                <c:pt idx="394">
                  <c:v>-2.5137340061903632</c:v>
                </c:pt>
                <c:pt idx="395">
                  <c:v>-2.568835946104354</c:v>
                </c:pt>
                <c:pt idx="396">
                  <c:v>-2.6236757935036654</c:v>
                </c:pt>
                <c:pt idx="397">
                  <c:v>-2.6795785679632984</c:v>
                </c:pt>
                <c:pt idx="398">
                  <c:v>-2.7352129537694552</c:v>
                </c:pt>
                <c:pt idx="399">
                  <c:v>-2.7905821941911384</c:v>
                </c:pt>
                <c:pt idx="400">
                  <c:v>-2.8456894748756678</c:v>
                </c:pt>
                <c:pt idx="401">
                  <c:v>-2.9017730759129505</c:v>
                </c:pt>
                <c:pt idx="402">
                  <c:v>-2.9575893157039297</c:v>
                </c:pt>
                <c:pt idx="403">
                  <c:v>-3.0131414220775992</c:v>
                </c:pt>
                <c:pt idx="404">
                  <c:v>-3.0684325654436733</c:v>
                </c:pt>
                <c:pt idx="405">
                  <c:v>-3.124738433267535</c:v>
                </c:pt>
                <c:pt idx="406">
                  <c:v>-3.180777636904724</c:v>
                </c:pt>
                <c:pt idx="407">
                  <c:v>-3.2365533941769375</c:v>
                </c:pt>
                <c:pt idx="408">
                  <c:v>-3.2920688655551422</c:v>
                </c:pt>
                <c:pt idx="409">
                  <c:v>-3.3486354720959821</c:v>
                </c:pt>
                <c:pt idx="410">
                  <c:v>-3.4049358163041332</c:v>
                </c:pt>
                <c:pt idx="411">
                  <c:v>-3.4609731107380144</c:v>
                </c:pt>
                <c:pt idx="412">
                  <c:v>-3.5167505105561108</c:v>
                </c:pt>
                <c:pt idx="413">
                  <c:v>-3.5735551888751136</c:v>
                </c:pt>
                <c:pt idx="414">
                  <c:v>-3.6300942874710933</c:v>
                </c:pt>
                <c:pt idx="415">
                  <c:v>-3.6863710079414953</c:v>
                </c:pt>
                <c:pt idx="416">
                  <c:v>-3.7423884945646746</c:v>
                </c:pt>
                <c:pt idx="417">
                  <c:v>-3.7994675694888995</c:v>
                </c:pt>
                <c:pt idx="418">
                  <c:v>-3.8562814738805562</c:v>
                </c:pt>
                <c:pt idx="419">
                  <c:v>-3.9128334026232459</c:v>
                </c:pt>
                <c:pt idx="420">
                  <c:v>-3.9691264932570132</c:v>
                </c:pt>
                <c:pt idx="421">
                  <c:v>-4.0264012204542112</c:v>
                </c:pt>
                <c:pt idx="422">
                  <c:v>-4.0834119759350154</c:v>
                </c:pt>
                <c:pt idx="423">
                  <c:v>-4.1401619329281205</c:v>
                </c:pt>
                <c:pt idx="424">
                  <c:v>-4.1966542076475957</c:v>
                </c:pt>
                <c:pt idx="425">
                  <c:v>-4.2542724770721891</c:v>
                </c:pt>
                <c:pt idx="426">
                  <c:v>-4.3116266725213093</c:v>
                </c:pt>
                <c:pt idx="427">
                  <c:v>-4.3687199681955855</c:v>
                </c:pt>
                <c:pt idx="428">
                  <c:v>-4.4255554810659037</c:v>
                </c:pt>
                <c:pt idx="429">
                  <c:v>-4.4834377485186527</c:v>
                </c:pt>
                <c:pt idx="430">
                  <c:v>-4.5410566320673649</c:v>
                </c:pt>
                <c:pt idx="431">
                  <c:v>-4.598415291813831</c:v>
                </c:pt>
                <c:pt idx="432">
                  <c:v>-4.6555168307737977</c:v>
                </c:pt>
                <c:pt idx="433">
                  <c:v>-4.7136424618737029</c:v>
                </c:pt>
                <c:pt idx="434">
                  <c:v>-4.7715056380346139</c:v>
                </c:pt>
                <c:pt idx="435">
                  <c:v>-4.8291095001284452</c:v>
                </c:pt>
                <c:pt idx="436">
                  <c:v>-4.8864571322076538</c:v>
                </c:pt>
                <c:pt idx="437">
                  <c:v>-4.9449116287650492</c:v>
                </c:pt>
                <c:pt idx="438">
                  <c:v>-5.0031038806738355</c:v>
                </c:pt>
                <c:pt idx="439">
                  <c:v>-5.0610370215421598</c:v>
                </c:pt>
                <c:pt idx="440">
                  <c:v>-5.11871412813794</c:v>
                </c:pt>
                <c:pt idx="441">
                  <c:v>-5.1774742641320639</c:v>
                </c:pt>
                <c:pt idx="442">
                  <c:v>-5.2359726283714494</c:v>
                </c:pt>
                <c:pt idx="443">
                  <c:v>-5.2942123415551023</c:v>
                </c:pt>
                <c:pt idx="444">
                  <c:v>-5.3521964676586942</c:v>
                </c:pt>
                <c:pt idx="445">
                  <c:v>-5.4112406256825505</c:v>
                </c:pt>
                <c:pt idx="446">
                  <c:v>-5.470023723214017</c:v>
                </c:pt>
                <c:pt idx="447">
                  <c:v>-5.5285488628332775</c:v>
                </c:pt>
                <c:pt idx="448">
                  <c:v>-5.5868190906433277</c:v>
                </c:pt>
                <c:pt idx="449">
                  <c:v>-5.6462263689774748</c:v>
                </c:pt>
                <c:pt idx="450">
                  <c:v>-5.7053726453486897</c:v>
                </c:pt>
                <c:pt idx="451">
                  <c:v>-5.7642610148184126</c:v>
                </c:pt>
                <c:pt idx="452">
                  <c:v>-5.822894515965384</c:v>
                </c:pt>
                <c:pt idx="453">
                  <c:v>-5.8825923278126115</c:v>
                </c:pt>
                <c:pt idx="454">
                  <c:v>-5.9420298757022358</c:v>
                </c:pt>
                <c:pt idx="455">
                  <c:v>-6.0012102341097773</c:v>
                </c:pt>
                <c:pt idx="456">
                  <c:v>-6.0601364213460212</c:v>
                </c:pt>
                <c:pt idx="457">
                  <c:v>-6.1202008237209355</c:v>
                </c:pt>
                <c:pt idx="458">
                  <c:v>-6.1800050749232103</c:v>
                </c:pt>
                <c:pt idx="459">
                  <c:v>-6.2395522388664384</c:v>
                </c:pt>
                <c:pt idx="460">
                  <c:v>-6.2988453233828974</c:v>
                </c:pt>
                <c:pt idx="461">
                  <c:v>-6.3592530051108662</c:v>
                </c:pt>
                <c:pt idx="462">
                  <c:v>-6.4194008876683402</c:v>
                </c:pt>
                <c:pt idx="463">
                  <c:v>-6.4792920191422096</c:v>
                </c:pt>
                <c:pt idx="464">
                  <c:v>-6.5389293917599423</c:v>
                </c:pt>
                <c:pt idx="465">
                  <c:v>-6.5997048307439696</c:v>
                </c:pt>
                <c:pt idx="466">
                  <c:v>-6.6602206446919894</c:v>
                </c:pt>
                <c:pt idx="467">
                  <c:v>-6.7204798679472368</c:v>
                </c:pt>
                <c:pt idx="468">
                  <c:v>-6.7804854791778624</c:v>
                </c:pt>
                <c:pt idx="469">
                  <c:v>-6.8416059226307366</c:v>
                </c:pt>
                <c:pt idx="470">
                  <c:v>-6.9024671372211275</c:v>
                </c:pt>
                <c:pt idx="471">
                  <c:v>-6.9630721386543577</c:v>
                </c:pt>
                <c:pt idx="472">
                  <c:v>-7.0234238872797015</c:v>
                </c:pt>
                <c:pt idx="473">
                  <c:v>-7.0849575098143447</c:v>
                </c:pt>
                <c:pt idx="474">
                  <c:v>-7.1462317482544533</c:v>
                </c:pt>
                <c:pt idx="475">
                  <c:v>-7.2072496082561512</c:v>
                </c:pt>
                <c:pt idx="476">
                  <c:v>-7.2680140402469036</c:v>
                </c:pt>
                <c:pt idx="477">
                  <c:v>-7.3299363768696075</c:v>
                </c:pt>
                <c:pt idx="478">
                  <c:v>-7.3915994058101644</c:v>
                </c:pt>
                <c:pt idx="479">
                  <c:v>-7.4530061176677904</c:v>
                </c:pt>
                <c:pt idx="480">
                  <c:v>-7.5141594480830998</c:v>
                </c:pt>
                <c:pt idx="481">
                  <c:v>-7.5764474803465127</c:v>
                </c:pt>
                <c:pt idx="482">
                  <c:v>-7.6384764909909784</c:v>
                </c:pt>
                <c:pt idx="483">
                  <c:v>-7.7002494510493955</c:v>
                </c:pt>
                <c:pt idx="484">
                  <c:v>-7.7617692769995141</c:v>
                </c:pt>
                <c:pt idx="485">
                  <c:v>-7.8244439177955618</c:v>
                </c:pt>
                <c:pt idx="486">
                  <c:v>-7.8868596615870903</c:v>
                </c:pt>
                <c:pt idx="487">
                  <c:v>-7.9490194617998036</c:v>
                </c:pt>
                <c:pt idx="488">
                  <c:v>-8.0109262176858245</c:v>
                </c:pt>
                <c:pt idx="489">
                  <c:v>-8.0740487597547776</c:v>
                </c:pt>
                <c:pt idx="490">
                  <c:v>-8.1369120380550228</c:v>
                </c:pt>
                <c:pt idx="491">
                  <c:v>-8.199518996002471</c:v>
                </c:pt>
                <c:pt idx="492">
                  <c:v>-8.2618725230646035</c:v>
                </c:pt>
                <c:pt idx="493">
                  <c:v>-8.325417709392104</c:v>
                </c:pt>
                <c:pt idx="494">
                  <c:v>-8.3887034863202352</c:v>
                </c:pt>
                <c:pt idx="495">
                  <c:v>-8.4517327827842426</c:v>
                </c:pt>
                <c:pt idx="496">
                  <c:v>-8.5145084741367398</c:v>
                </c:pt>
                <c:pt idx="497">
                  <c:v>-8.578492975177257</c:v>
                </c:pt>
                <c:pt idx="498">
                  <c:v>-8.6422177948244698</c:v>
                </c:pt>
                <c:pt idx="499">
                  <c:v>-8.7056858490809823</c:v>
                </c:pt>
                <c:pt idx="500">
                  <c:v>-8.7689000007296976</c:v>
                </c:pt>
                <c:pt idx="501">
                  <c:v>-8.8333391967031627</c:v>
                </c:pt>
                <c:pt idx="502">
                  <c:v>-8.8975183235625046</c:v>
                </c:pt>
                <c:pt idx="503">
                  <c:v>-8.9614402858455584</c:v>
                </c:pt>
                <c:pt idx="504">
                  <c:v>-9.025107935235317</c:v>
                </c:pt>
                <c:pt idx="505">
                  <c:v>-9.0899767223060604</c:v>
                </c:pt>
                <c:pt idx="506">
                  <c:v>-9.1545852610029339</c:v>
                </c:pt>
                <c:pt idx="507">
                  <c:v>-9.218936440602949</c:v>
                </c:pt>
                <c:pt idx="508">
                  <c:v>-9.2830330980253439</c:v>
                </c:pt>
                <c:pt idx="509">
                  <c:v>-9.3483463331427927</c:v>
                </c:pt>
                <c:pt idx="510">
                  <c:v>-9.4133990248924757</c:v>
                </c:pt>
                <c:pt idx="511">
                  <c:v>-9.4781940490815479</c:v>
                </c:pt>
                <c:pt idx="512">
                  <c:v>-9.5427342296557125</c:v>
                </c:pt>
                <c:pt idx="513">
                  <c:v>-9.6085436211137658</c:v>
                </c:pt>
                <c:pt idx="514">
                  <c:v>-9.6740917687088075</c:v>
                </c:pt>
                <c:pt idx="515">
                  <c:v>-9.73938154147422</c:v>
                </c:pt>
                <c:pt idx="516">
                  <c:v>-9.8044157569636923</c:v>
                </c:pt>
                <c:pt idx="517">
                  <c:v>-9.8706946473895645</c:v>
                </c:pt>
                <c:pt idx="518">
                  <c:v>-9.9367118131909429</c:v>
                </c:pt>
                <c:pt idx="519">
                  <c:v>-10.002470113200097</c:v>
                </c:pt>
                <c:pt idx="520">
                  <c:v>-10.067972355281462</c:v>
                </c:pt>
                <c:pt idx="521">
                  <c:v>-10.134732294780592</c:v>
                </c:pt>
                <c:pt idx="522">
                  <c:v>-10.201229945411271</c:v>
                </c:pt>
                <c:pt idx="523">
                  <c:v>-10.267468157587579</c:v>
                </c:pt>
                <c:pt idx="524">
                  <c:v>-10.333449731275877</c:v>
                </c:pt>
                <c:pt idx="525">
                  <c:v>-10.400701281562796</c:v>
                </c:pt>
                <c:pt idx="526">
                  <c:v>-10.467689906311774</c:v>
                </c:pt>
                <c:pt idx="527">
                  <c:v>-10.534418449337489</c:v>
                </c:pt>
                <c:pt idx="528">
                  <c:v>-10.600889704536913</c:v>
                </c:pt>
                <c:pt idx="529">
                  <c:v>-10.668642503080877</c:v>
                </c:pt>
                <c:pt idx="530">
                  <c:v>-10.736131678294175</c:v>
                </c:pt>
                <c:pt idx="531">
                  <c:v>-10.803360069265327</c:v>
                </c:pt>
                <c:pt idx="532">
                  <c:v>-10.870330465706445</c:v>
                </c:pt>
                <c:pt idx="533">
                  <c:v>-10.938628463821349</c:v>
                </c:pt>
                <c:pt idx="534">
                  <c:v>-11.006661819786203</c:v>
                </c:pt>
                <c:pt idx="535">
                  <c:v>-11.074433374265054</c:v>
                </c:pt>
                <c:pt idx="536">
                  <c:v>-11.14194591899895</c:v>
                </c:pt>
                <c:pt idx="537">
                  <c:v>-11.210726218445954</c:v>
                </c:pt>
                <c:pt idx="538">
                  <c:v>-11.279241368495219</c:v>
                </c:pt>
                <c:pt idx="539">
                  <c:v>-11.347494204605376</c:v>
                </c:pt>
                <c:pt idx="540">
                  <c:v>-11.415487513979629</c:v>
                </c:pt>
                <c:pt idx="541">
                  <c:v>-11.484827206774021</c:v>
                </c:pt>
                <c:pt idx="542">
                  <c:v>-11.553900679886695</c:v>
                </c:pt>
                <c:pt idx="543">
                  <c:v>-11.6227107743253</c:v>
                </c:pt>
                <c:pt idx="544">
                  <c:v>-11.691260283327106</c:v>
                </c:pt>
                <c:pt idx="545">
                  <c:v>-11.761130836240683</c:v>
                </c:pt>
                <c:pt idx="546">
                  <c:v>-11.83073435954006</c:v>
                </c:pt>
                <c:pt idx="547">
                  <c:v>-11.900073697684865</c:v>
                </c:pt>
                <c:pt idx="548">
                  <c:v>-11.969151647959963</c:v>
                </c:pt>
                <c:pt idx="549">
                  <c:v>-12.039559122214452</c:v>
                </c:pt>
                <c:pt idx="550">
                  <c:v>-12.109698759499183</c:v>
                </c:pt>
                <c:pt idx="551">
                  <c:v>-12.179573410110896</c:v>
                </c:pt>
                <c:pt idx="552">
                  <c:v>-12.249185877778357</c:v>
                </c:pt>
                <c:pt idx="553">
                  <c:v>-12.320168422222999</c:v>
                </c:pt>
                <c:pt idx="554">
                  <c:v>-12.390882094004475</c:v>
                </c:pt>
                <c:pt idx="555">
                  <c:v>-12.461329755695958</c:v>
                </c:pt>
                <c:pt idx="556">
                  <c:v>-12.531514223837629</c:v>
                </c:pt>
                <c:pt idx="557">
                  <c:v>-12.674366953340677</c:v>
                </c:pt>
                <c:pt idx="558">
                  <c:v>-12.81615170708112</c:v>
                </c:pt>
                <c:pt idx="559">
                  <c:v>-12.96010481504994</c:v>
                </c:pt>
                <c:pt idx="560">
                  <c:v>-13.102987260012748</c:v>
                </c:pt>
                <c:pt idx="561">
                  <c:v>-13.248174229711182</c:v>
                </c:pt>
                <c:pt idx="562">
                  <c:v>-13.392286310951766</c:v>
                </c:pt>
                <c:pt idx="563">
                  <c:v>-13.538404888808902</c:v>
                </c:pt>
                <c:pt idx="564">
                  <c:v>-13.683449300436363</c:v>
                </c:pt>
                <c:pt idx="565">
                  <c:v>-13.831059107939083</c:v>
                </c:pt>
                <c:pt idx="566">
                  <c:v>-13.977587874550288</c:v>
                </c:pt>
                <c:pt idx="567">
                  <c:v>-14.126622860860889</c:v>
                </c:pt>
                <c:pt idx="568">
                  <c:v>-14.274571660506663</c:v>
                </c:pt>
                <c:pt idx="569">
                  <c:v>-14.424384915179791</c:v>
                </c:pt>
                <c:pt idx="570">
                  <c:v>-14.573116995664428</c:v>
                </c:pt>
                <c:pt idx="571">
                  <c:v>-14.724830702252181</c:v>
                </c:pt>
                <c:pt idx="572">
                  <c:v>-14.875453046623637</c:v>
                </c:pt>
                <c:pt idx="573">
                  <c:v>-15.027852241383419</c:v>
                </c:pt>
                <c:pt idx="574">
                  <c:v>-15.179168348490206</c:v>
                </c:pt>
                <c:pt idx="575">
                  <c:v>-15.333351100838023</c:v>
                </c:pt>
                <c:pt idx="576">
                  <c:v>-15.486444673397465</c:v>
                </c:pt>
                <c:pt idx="577">
                  <c:v>-16.123078099252211</c:v>
                </c:pt>
                <c:pt idx="578">
                  <c:v>-16.742416949127559</c:v>
                </c:pt>
                <c:pt idx="579">
                  <c:v>-18.046967951948844</c:v>
                </c:pt>
                <c:pt idx="580">
                  <c:v>-19.41030409954401</c:v>
                </c:pt>
                <c:pt idx="581">
                  <c:v>-20.843162559210256</c:v>
                </c:pt>
                <c:pt idx="582">
                  <c:v>-22.367358800429592</c:v>
                </c:pt>
                <c:pt idx="583">
                  <c:v>-24.018154374423261</c:v>
                </c:pt>
                <c:pt idx="584">
                  <c:v>-25.864407503894068</c:v>
                </c:pt>
                <c:pt idx="585">
                  <c:v>-28.040939923892321</c:v>
                </c:pt>
                <c:pt idx="586">
                  <c:v>-30.850647176517811</c:v>
                </c:pt>
                <c:pt idx="587">
                  <c:v>-35.090116030994011</c:v>
                </c:pt>
                <c:pt idx="588">
                  <c:v>-43.91230362125215</c:v>
                </c:pt>
                <c:pt idx="589">
                  <c:v>-48.5149434271232</c:v>
                </c:pt>
                <c:pt idx="590">
                  <c:v>-39.575720890770093</c:v>
                </c:pt>
                <c:pt idx="591">
                  <c:v>-37.6051977473901</c:v>
                </c:pt>
                <c:pt idx="592">
                  <c:v>-37.679500144460462</c:v>
                </c:pt>
                <c:pt idx="593">
                  <c:v>-38.769023063953526</c:v>
                </c:pt>
                <c:pt idx="594">
                  <c:v>-40.761833128192123</c:v>
                </c:pt>
                <c:pt idx="595">
                  <c:v>-44.773506332226837</c:v>
                </c:pt>
                <c:pt idx="596">
                  <c:v>-63.041732168181277</c:v>
                </c:pt>
                <c:pt idx="597">
                  <c:v>-48.716203198427792</c:v>
                </c:pt>
                <c:pt idx="598">
                  <c:v>-46.521816661859816</c:v>
                </c:pt>
                <c:pt idx="599">
                  <c:v>-47.860633901976854</c:v>
                </c:pt>
                <c:pt idx="600">
                  <c:v>-54.07373026396111</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-10.258411905410318</c:v>
                </c:pt>
                <c:pt idx="1">
                  <c:v>-63.267922747025693</c:v>
                </c:pt>
                <c:pt idx="2">
                  <c:v>-65.331650482718047</c:v>
                </c:pt>
                <c:pt idx="3">
                  <c:v>-67.275473523931851</c:v>
                </c:pt>
                <c:pt idx="4">
                  <c:v>-69.096912284878414</c:v>
                </c:pt>
                <c:pt idx="5">
                  <c:v>-70.799691893919231</c:v>
                </c:pt>
                <c:pt idx="6">
                  <c:v>-72.383739737739631</c:v>
                </c:pt>
                <c:pt idx="7">
                  <c:v>-73.853899955434031</c:v>
                </c:pt>
                <c:pt idx="8">
                  <c:v>-75.213879690038027</c:v>
                </c:pt>
                <c:pt idx="9">
                  <c:v>-76.470152159105936</c:v>
                </c:pt>
                <c:pt idx="10">
                  <c:v>-77.62782353115378</c:v>
                </c:pt>
                <c:pt idx="11">
                  <c:v>-78.693161063540728</c:v>
                </c:pt>
                <c:pt idx="12">
                  <c:v>-79.672788434823303</c:v>
                </c:pt>
                <c:pt idx="13">
                  <c:v>-80.571806747287852</c:v>
                </c:pt>
                <c:pt idx="14">
                  <c:v>-81.396832809617877</c:v>
                </c:pt>
                <c:pt idx="15">
                  <c:v>-82.15317290390638</c:v>
                </c:pt>
                <c:pt idx="16">
                  <c:v>-82.846275684440315</c:v>
                </c:pt>
                <c:pt idx="17">
                  <c:v>-83.48113964044127</c:v>
                </c:pt>
                <c:pt idx="18">
                  <c:v>-84.062726456897551</c:v>
                </c:pt>
                <c:pt idx="19">
                  <c:v>-84.595345820017272</c:v>
                </c:pt>
                <c:pt idx="20">
                  <c:v>-85.083271053643344</c:v>
                </c:pt>
                <c:pt idx="21">
                  <c:v>-85.530273947475095</c:v>
                </c:pt>
                <c:pt idx="22">
                  <c:v>-85.94003860659744</c:v>
                </c:pt>
                <c:pt idx="23">
                  <c:v>-86.31578606366736</c:v>
                </c:pt>
                <c:pt idx="24">
                  <c:v>-86.660683372400953</c:v>
                </c:pt>
                <c:pt idx="25">
                  <c:v>-86.977509992308029</c:v>
                </c:pt>
                <c:pt idx="26">
                  <c:v>-87.268954042486726</c:v>
                </c:pt>
                <c:pt idx="27">
                  <c:v>-87.537341167983286</c:v>
                </c:pt>
                <c:pt idx="28">
                  <c:v>-87.784926758601841</c:v>
                </c:pt>
                <c:pt idx="29">
                  <c:v>-88.013649593024653</c:v>
                </c:pt>
                <c:pt idx="30">
                  <c:v>-88.225807404445447</c:v>
                </c:pt>
                <c:pt idx="31">
                  <c:v>-88.422870751461474</c:v>
                </c:pt>
                <c:pt idx="32">
                  <c:v>-88.606635516769643</c:v>
                </c:pt>
                <c:pt idx="33">
                  <c:v>-88.778521776211292</c:v>
                </c:pt>
                <c:pt idx="34">
                  <c:v>-88.940114107637072</c:v>
                </c:pt>
                <c:pt idx="35">
                  <c:v>-89.092683255395599</c:v>
                </c:pt>
                <c:pt idx="36">
                  <c:v>-89.237544262102389</c:v>
                </c:pt>
                <c:pt idx="37">
                  <c:v>-89.375994064463583</c:v>
                </c:pt>
                <c:pt idx="38">
                  <c:v>-89.509068634535424</c:v>
                </c:pt>
                <c:pt idx="39">
                  <c:v>-89.637998687364586</c:v>
                </c:pt>
                <c:pt idx="40">
                  <c:v>-89.7638190985449</c:v>
                </c:pt>
                <c:pt idx="41">
                  <c:v>-89.887597863598955</c:v>
                </c:pt>
                <c:pt idx="42">
                  <c:v>-90.010354768695706</c:v>
                </c:pt>
                <c:pt idx="43">
                  <c:v>-90.133150141815264</c:v>
                </c:pt>
                <c:pt idx="44">
                  <c:v>-90.256970506205093</c:v>
                </c:pt>
                <c:pt idx="45">
                  <c:v>-90.382862028179687</c:v>
                </c:pt>
                <c:pt idx="46">
                  <c:v>-90.511828585568452</c:v>
                </c:pt>
                <c:pt idx="47">
                  <c:v>-90.644941519583355</c:v>
                </c:pt>
                <c:pt idx="48">
                  <c:v>-90.783230358406314</c:v>
                </c:pt>
                <c:pt idx="49">
                  <c:v>-90.927816029762596</c:v>
                </c:pt>
                <c:pt idx="50">
                  <c:v>-91.079788608250325</c:v>
                </c:pt>
                <c:pt idx="51">
                  <c:v>-91.240324202697607</c:v>
                </c:pt>
                <c:pt idx="52">
                  <c:v>-91.410537057329208</c:v>
                </c:pt>
                <c:pt idx="53">
                  <c:v>-91.591616278236074</c:v>
                </c:pt>
                <c:pt idx="54">
                  <c:v>-91.784633486319876</c:v>
                </c:pt>
                <c:pt idx="55">
                  <c:v>-91.991118593340715</c:v>
                </c:pt>
                <c:pt idx="56">
                  <c:v>-92.211973367876425</c:v>
                </c:pt>
                <c:pt idx="57">
                  <c:v>-92.448477250405134</c:v>
                </c:pt>
                <c:pt idx="58">
                  <c:v>-92.701505878072368</c:v>
                </c:pt>
                <c:pt idx="59">
                  <c:v>-92.972167818404813</c:v>
                </c:pt>
                <c:pt idx="60">
                  <c:v>-93.261034881654041</c:v>
                </c:pt>
                <c:pt idx="61">
                  <c:v>-93.56859255261098</c:v>
                </c:pt>
                <c:pt idx="62">
                  <c:v>-93.895101906758825</c:v>
                </c:pt>
                <c:pt idx="63">
                  <c:v>-94.239861486855403</c:v>
                </c:pt>
                <c:pt idx="64">
                  <c:v>-94.60215747193557</c:v>
                </c:pt>
                <c:pt idx="65">
                  <c:v>-94.98014596947074</c:v>
                </c:pt>
                <c:pt idx="66">
                  <c:v>-95.371290942665198</c:v>
                </c:pt>
                <c:pt idx="67">
                  <c:v>-95.772006451378701</c:v>
                </c:pt>
                <c:pt idx="68">
                  <c:v>-96.177846016681272</c:v>
                </c:pt>
                <c:pt idx="69">
                  <c:v>-96.583096941231403</c:v>
                </c:pt>
                <c:pt idx="70">
                  <c:v>-96.981278996542628</c:v>
                </c:pt>
                <c:pt idx="71">
                  <c:v>-97.364996989788821</c:v>
                </c:pt>
                <c:pt idx="72">
                  <c:v>-97.726597572773414</c:v>
                </c:pt>
                <c:pt idx="73">
                  <c:v>-98.058301787458674</c:v>
                </c:pt>
                <c:pt idx="74">
                  <c:v>-98.353112629478517</c:v>
                </c:pt>
                <c:pt idx="75">
                  <c:v>-98.605121631472784</c:v>
                </c:pt>
                <c:pt idx="76">
                  <c:v>-98.810329159458746</c:v>
                </c:pt>
                <c:pt idx="77">
                  <c:v>-98.966905327152531</c:v>
                </c:pt>
                <c:pt idx="78">
                  <c:v>-99.075688385601083</c:v>
                </c:pt>
                <c:pt idx="79">
                  <c:v>-99.140107595262904</c:v>
                </c:pt>
                <c:pt idx="80">
                  <c:v>-99.166134401111435</c:v>
                </c:pt>
                <c:pt idx="81">
                  <c:v>-99.16161733178167</c:v>
                </c:pt>
                <c:pt idx="82">
                  <c:v>-99.135982759417686</c:v>
                </c:pt>
                <c:pt idx="83">
                  <c:v>-99.099578464589584</c:v>
                </c:pt>
                <c:pt idx="84">
                  <c:v>-99.063047208876057</c:v>
                </c:pt>
                <c:pt idx="85">
                  <c:v>-99.036938819844181</c:v>
                </c:pt>
                <c:pt idx="86">
                  <c:v>-99.031281302610765</c:v>
                </c:pt>
                <c:pt idx="87">
                  <c:v>-99.055417815277977</c:v>
                </c:pt>
                <c:pt idx="88">
                  <c:v>-99.117850446610703</c:v>
                </c:pt>
                <c:pt idx="89">
                  <c:v>-99.226353856459667</c:v>
                </c:pt>
                <c:pt idx="90">
                  <c:v>-99.387928068081635</c:v>
                </c:pt>
                <c:pt idx="91">
                  <c:v>-99.609030359072392</c:v>
                </c:pt>
                <c:pt idx="92">
                  <c:v>-99.895648977673588</c:v>
                </c:pt>
                <c:pt idx="93">
                  <c:v>-100.25365327580542</c:v>
                </c:pt>
                <c:pt idx="94">
                  <c:v>-100.3549271025324</c:v>
                </c:pt>
                <c:pt idx="95">
                  <c:v>-100.40772468964407</c:v>
                </c:pt>
                <c:pt idx="96">
                  <c:v>-100.46114807120343</c:v>
                </c:pt>
                <c:pt idx="97">
                  <c:v>-100.51643971223199</c:v>
                </c:pt>
                <c:pt idx="98">
                  <c:v>-100.57235075705435</c:v>
                </c:pt>
                <c:pt idx="99">
                  <c:v>-100.63019563333056</c:v>
                </c:pt>
                <c:pt idx="100">
                  <c:v>-100.68865347698754</c:v>
                </c:pt>
                <c:pt idx="101">
                  <c:v>-100.74906629827842</c:v>
                </c:pt>
                <c:pt idx="102">
                  <c:v>-100.81008469082519</c:v>
                </c:pt>
                <c:pt idx="103">
                  <c:v>-100.87316973831695</c:v>
                </c:pt>
                <c:pt idx="104">
                  <c:v>-100.93685381898088</c:v>
                </c:pt>
                <c:pt idx="105">
                  <c:v>-101.00262547779474</c:v>
                </c:pt>
                <c:pt idx="106">
                  <c:v>-101.06898869206607</c:v>
                </c:pt>
                <c:pt idx="107">
                  <c:v>-101.13745853948792</c:v>
                </c:pt>
                <c:pt idx="108">
                  <c:v>-101.20651162195767</c:v>
                </c:pt>
                <c:pt idx="109">
                  <c:v>-101.27773730910823</c:v>
                </c:pt>
                <c:pt idx="110">
                  <c:v>-101.34953793273608</c:v>
                </c:pt>
                <c:pt idx="111">
                  <c:v>-101.42362721648121</c:v>
                </c:pt>
                <c:pt idx="112">
                  <c:v>-101.49828388334134</c:v>
                </c:pt>
                <c:pt idx="113">
                  <c:v>-101.57524764957806</c:v>
                </c:pt>
                <c:pt idx="114">
                  <c:v>-101.65277043781305</c:v>
                </c:pt>
                <c:pt idx="115">
                  <c:v>-101.73266792756485</c:v>
                </c:pt>
                <c:pt idx="116">
                  <c:v>-101.81311605010465</c:v>
                </c:pt>
                <c:pt idx="117">
                  <c:v>-101.89600688594209</c:v>
                </c:pt>
                <c:pt idx="118">
                  <c:v>-101.97943992409722</c:v>
                </c:pt>
                <c:pt idx="119">
                  <c:v>-102.06533178081632</c:v>
                </c:pt>
                <c:pt idx="120">
                  <c:v>-102.15175672018103</c:v>
                </c:pt>
                <c:pt idx="121">
                  <c:v>-102.24070785413265</c:v>
                </c:pt>
                <c:pt idx="122">
                  <c:v>-102.33018295846772</c:v>
                </c:pt>
                <c:pt idx="123">
                  <c:v>-102.42230543183079</c:v>
                </c:pt>
                <c:pt idx="124">
                  <c:v>-102.51494334618292</c:v>
                </c:pt>
                <c:pt idx="125">
                  <c:v>-102.61024364579411</c:v>
                </c:pt>
                <c:pt idx="126">
                  <c:v>-102.70605021307527</c:v>
                </c:pt>
                <c:pt idx="127">
                  <c:v>-102.80458726310373</c:v>
                </c:pt>
                <c:pt idx="128">
                  <c:v>-102.90362138603356</c:v>
                </c:pt>
                <c:pt idx="129">
                  <c:v>-103.00545423712518</c:v>
                </c:pt>
                <c:pt idx="130">
                  <c:v>-103.10777493752256</c:v>
                </c:pt>
                <c:pt idx="131">
                  <c:v>-103.21296271375452</c:v>
                </c:pt>
                <c:pt idx="132">
                  <c:v>-103.26573704571901</c:v>
                </c:pt>
                <c:pt idx="133">
                  <c:v>-103.31862908073929</c:v>
                </c:pt>
                <c:pt idx="134">
                  <c:v>-103.37289840806012</c:v>
                </c:pt>
                <c:pt idx="135">
                  <c:v>-103.42728712060503</c:v>
                </c:pt>
                <c:pt idx="136">
                  <c:v>-103.48179326551644</c:v>
                </c:pt>
                <c:pt idx="137">
                  <c:v>-103.53641492944493</c:v>
                </c:pt>
                <c:pt idx="138">
                  <c:v>-103.59239424298528</c:v>
                </c:pt>
                <c:pt idx="139">
                  <c:v>-103.64849045499713</c:v>
                </c:pt>
                <c:pt idx="140">
                  <c:v>-103.7047016408024</c:v>
                </c:pt>
                <c:pt idx="141">
                  <c:v>-103.76102591482616</c:v>
                </c:pt>
                <c:pt idx="142">
                  <c:v>-103.81880104406871</c:v>
                </c:pt>
                <c:pt idx="143">
                  <c:v>-103.87669081095174</c:v>
                </c:pt>
                <c:pt idx="144">
                  <c:v>-103.93469331365255</c:v>
                </c:pt>
                <c:pt idx="145">
                  <c:v>-103.99280668917305</c:v>
                </c:pt>
                <c:pt idx="146">
                  <c:v>-104.05237906147535</c:v>
                </c:pt>
                <c:pt idx="147">
                  <c:v>-104.11206367715928</c:v>
                </c:pt>
                <c:pt idx="148">
                  <c:v>-104.17185866071078</c:v>
                </c:pt>
                <c:pt idx="149">
                  <c:v>-104.23176217505549</c:v>
                </c:pt>
                <c:pt idx="150">
                  <c:v>-104.29316118900307</c:v>
                </c:pt>
                <c:pt idx="151">
                  <c:v>-104.35467003913222</c:v>
                </c:pt>
                <c:pt idx="152">
                  <c:v>-104.4162868766926</c:v>
                </c:pt>
                <c:pt idx="153">
                  <c:v>-104.47800989095997</c:v>
                </c:pt>
                <c:pt idx="154">
                  <c:v>-104.54129399954054</c:v>
                </c:pt>
                <c:pt idx="155">
                  <c:v>-104.60468562187293</c:v>
                </c:pt>
                <c:pt idx="156">
                  <c:v>-104.66818293389888</c:v>
                </c:pt>
                <c:pt idx="157">
                  <c:v>-104.73178414921223</c:v>
                </c:pt>
                <c:pt idx="158">
                  <c:v>-104.79698315173876</c:v>
                </c:pt>
                <c:pt idx="159">
                  <c:v>-104.86228732009006</c:v>
                </c:pt>
                <c:pt idx="160">
                  <c:v>-104.92769485552404</c:v>
                </c:pt>
                <c:pt idx="161">
                  <c:v>-104.99320399654862</c:v>
                </c:pt>
                <c:pt idx="162">
                  <c:v>-105.06031802271322</c:v>
                </c:pt>
                <c:pt idx="163">
                  <c:v>-105.12753475240437</c:v>
                </c:pt>
                <c:pt idx="164">
                  <c:v>-105.19485241507284</c:v>
                </c:pt>
                <c:pt idx="165">
                  <c:v>-105.26226927692419</c:v>
                </c:pt>
                <c:pt idx="166">
                  <c:v>-105.33138664499556</c:v>
                </c:pt>
                <c:pt idx="167">
                  <c:v>-105.40060441202931</c:v>
                </c:pt>
                <c:pt idx="168">
                  <c:v>-105.46992083148989</c:v>
                </c:pt>
                <c:pt idx="169">
                  <c:v>-105.53933419320244</c:v>
                </c:pt>
                <c:pt idx="170">
                  <c:v>-105.61033545584075</c:v>
                </c:pt>
                <c:pt idx="171">
                  <c:v>-105.68143437097177</c:v>
                </c:pt>
                <c:pt idx="172">
                  <c:v>-105.75262922744446</c:v>
                </c:pt>
                <c:pt idx="173">
                  <c:v>-105.82391834974268</c:v>
                </c:pt>
                <c:pt idx="174">
                  <c:v>-105.89710081979753</c:v>
                </c:pt>
                <c:pt idx="175">
                  <c:v>-105.97037891289726</c:v>
                </c:pt>
                <c:pt idx="176">
                  <c:v>-106.04375093425352</c:v>
                </c:pt>
                <c:pt idx="177">
                  <c:v>-106.1172152245022</c:v>
                </c:pt>
                <c:pt idx="178">
                  <c:v>-106.19258001495736</c:v>
                </c:pt>
                <c:pt idx="179">
                  <c:v>-106.26803825118026</c:v>
                </c:pt>
                <c:pt idx="180">
                  <c:v>-106.34358825810708</c:v>
                </c:pt>
                <c:pt idx="181">
                  <c:v>-106.41922839578164</c:v>
                </c:pt>
                <c:pt idx="182">
                  <c:v>-106.49647252378855</c:v>
                </c:pt>
                <c:pt idx="183">
                  <c:v>-106.5738070849262</c:v>
                </c:pt>
                <c:pt idx="184">
                  <c:v>-106.65123044590821</c:v>
                </c:pt>
                <c:pt idx="185">
                  <c:v>-106.7287410076129</c:v>
                </c:pt>
                <c:pt idx="186">
                  <c:v>-106.80846848881532</c:v>
                </c:pt>
                <c:pt idx="187">
                  <c:v>-106.88828470833381</c:v>
                </c:pt>
                <c:pt idx="188">
                  <c:v>-106.96818803854872</c:v>
                </c:pt>
                <c:pt idx="189">
                  <c:v>-107.04817688605294</c:v>
                </c:pt>
                <c:pt idx="190">
                  <c:v>-107.12977860406664</c:v>
                </c:pt>
                <c:pt idx="191">
                  <c:v>-107.21146589794404</c:v>
                </c:pt>
                <c:pt idx="192">
                  <c:v>-107.29323718524824</c:v>
                </c:pt>
                <c:pt idx="193">
                  <c:v>-107.37509091668944</c:v>
                </c:pt>
                <c:pt idx="194">
                  <c:v>-107.45917475000023</c:v>
                </c:pt>
                <c:pt idx="195">
                  <c:v>-107.5433422044748</c:v>
                </c:pt>
                <c:pt idx="196">
                  <c:v>-107.6275917089359</c:v>
                </c:pt>
                <c:pt idx="197">
                  <c:v>-107.71192172521822</c:v>
                </c:pt>
                <c:pt idx="198">
                  <c:v>-107.79817999283139</c:v>
                </c:pt>
                <c:pt idx="199">
                  <c:v>-107.88451919094713</c:v>
                </c:pt>
                <c:pt idx="200">
                  <c:v>-107.97093777936558</c:v>
                </c:pt>
                <c:pt idx="201">
                  <c:v>-108.05743425020276</c:v>
                </c:pt>
                <c:pt idx="202">
                  <c:v>-108.14586308556885</c:v>
                </c:pt>
                <c:pt idx="203">
                  <c:v>-108.23437009625657</c:v>
                </c:pt>
                <c:pt idx="204">
                  <c:v>-108.3229537742926</c:v>
                </c:pt>
                <c:pt idx="205">
                  <c:v>-108.41161264327491</c:v>
                </c:pt>
                <c:pt idx="206">
                  <c:v>-108.50251794733234</c:v>
                </c:pt>
                <c:pt idx="207">
                  <c:v>-108.59349912899167</c:v>
                </c:pt>
                <c:pt idx="208">
                  <c:v>-108.68455469843114</c:v>
                </c:pt>
                <c:pt idx="209">
                  <c:v>-108.77568319703376</c:v>
                </c:pt>
                <c:pt idx="210">
                  <c:v>-108.86937428838149</c:v>
                </c:pt>
                <c:pt idx="211">
                  <c:v>-108.96313932260441</c:v>
                </c:pt>
                <c:pt idx="212">
                  <c:v>-109.05697681575847</c:v>
                </c:pt>
                <c:pt idx="213">
                  <c:v>-109.15088531506954</c:v>
                </c:pt>
                <c:pt idx="214">
                  <c:v>-109.24673741313039</c:v>
                </c:pt>
                <c:pt idx="215">
                  <c:v>-109.34266041916972</c:v>
                </c:pt>
                <c:pt idx="216">
                  <c:v>-109.43865288667676</c:v>
                </c:pt>
                <c:pt idx="217">
                  <c:v>-109.53471339938223</c:v>
                </c:pt>
                <c:pt idx="218">
                  <c:v>-109.63303316173466</c:v>
                </c:pt>
                <c:pt idx="219">
                  <c:v>-109.73142120410807</c:v>
                </c:pt>
                <c:pt idx="220">
                  <c:v>-109.82987610409492</c:v>
                </c:pt>
                <c:pt idx="221">
                  <c:v>-109.92839646895737</c:v>
                </c:pt>
                <c:pt idx="222">
                  <c:v>-110.02917939781544</c:v>
                </c:pt>
                <c:pt idx="223">
                  <c:v>-110.1300278908724</c:v>
                </c:pt>
                <c:pt idx="224">
                  <c:v>-110.23094055119923</c:v>
                </c:pt>
                <c:pt idx="225">
                  <c:v>-110.33191601091458</c:v>
                </c:pt>
                <c:pt idx="226">
                  <c:v>-110.43547175804314</c:v>
                </c:pt>
                <c:pt idx="227">
                  <c:v>-110.53909065433928</c:v>
                </c:pt>
                <c:pt idx="228">
                  <c:v>-110.64277131701471</c:v>
                </c:pt>
                <c:pt idx="229">
                  <c:v>-110.74651239200594</c:v>
                </c:pt>
                <c:pt idx="230">
                  <c:v>-110.95922279539386</c:v>
                </c:pt>
                <c:pt idx="231">
                  <c:v>-111.06566752922046</c:v>
                </c:pt>
                <c:pt idx="232">
                  <c:v>-111.17217015743617</c:v>
                </c:pt>
                <c:pt idx="233">
                  <c:v>-111.28125964193467</c:v>
                </c:pt>
                <c:pt idx="234">
                  <c:v>-111.39040705157301</c:v>
                </c:pt>
                <c:pt idx="235">
                  <c:v>-111.49961103791465</c:v>
                </c:pt>
                <c:pt idx="236">
                  <c:v>-111.6088702803943</c:v>
                </c:pt>
                <c:pt idx="237">
                  <c:v>-111.72040198433236</c:v>
                </c:pt>
                <c:pt idx="238">
                  <c:v>-111.8319885175702</c:v>
                </c:pt>
                <c:pt idx="239">
                  <c:v>-111.94362856242857</c:v>
                </c:pt>
                <c:pt idx="240">
                  <c:v>-112.05532082828172</c:v>
                </c:pt>
                <c:pt idx="241">
                  <c:v>-112.16992177892621</c:v>
                </c:pt>
                <c:pt idx="242">
                  <c:v>-112.28457498961455</c:v>
                </c:pt>
                <c:pt idx="243">
                  <c:v>-112.39927915208906</c:v>
                </c:pt>
                <c:pt idx="244">
                  <c:v>-112.51403298489576</c:v>
                </c:pt>
                <c:pt idx="245">
                  <c:v>-112.63137986569387</c:v>
                </c:pt>
                <c:pt idx="246">
                  <c:v>-112.74877601782131</c:v>
                </c:pt>
                <c:pt idx="247">
                  <c:v>-112.86622015489999</c:v>
                </c:pt>
                <c:pt idx="248">
                  <c:v>-112.98371101675197</c:v>
                </c:pt>
                <c:pt idx="249">
                  <c:v>-113.10411466701873</c:v>
                </c:pt>
                <c:pt idx="250">
                  <c:v>-113.22456475329204</c:v>
                </c:pt>
                <c:pt idx="251">
                  <c:v>-113.34506000185657</c:v>
                </c:pt>
                <c:pt idx="252">
                  <c:v>-113.46559916483021</c:v>
                </c:pt>
                <c:pt idx="253">
                  <c:v>-113.5887334689445</c:v>
                </c:pt>
                <c:pt idx="254">
                  <c:v>-113.71191101525055</c:v>
                </c:pt>
                <c:pt idx="255">
                  <c:v>-113.83513055387282</c:v>
                </c:pt>
                <c:pt idx="256">
                  <c:v>-113.95839086008829</c:v>
                </c:pt>
                <c:pt idx="257">
                  <c:v>-114.0848855460854</c:v>
                </c:pt>
                <c:pt idx="258">
                  <c:v>-114.21142060626717</c:v>
                </c:pt>
                <c:pt idx="259">
                  <c:v>-114.33799479633893</c:v>
                </c:pt>
                <c:pt idx="260">
                  <c:v>-114.46460689695317</c:v>
                </c:pt>
                <c:pt idx="261">
                  <c:v>-114.59413451269239</c:v>
                </c:pt>
                <c:pt idx="262">
                  <c:v>-114.72369927894447</c:v>
                </c:pt>
                <c:pt idx="263">
                  <c:v>-114.85329996793739</c:v>
                </c:pt>
                <c:pt idx="264">
                  <c:v>-114.98293537633205</c:v>
                </c:pt>
                <c:pt idx="265">
                  <c:v>-115.1154862287913</c:v>
                </c:pt>
                <c:pt idx="266">
                  <c:v>-115.24807089339572</c:v>
                </c:pt>
                <c:pt idx="267">
                  <c:v>-115.38068815970351</c:v>
                </c:pt>
                <c:pt idx="268">
                  <c:v>-115.51333684115957</c:v>
                </c:pt>
                <c:pt idx="269">
                  <c:v>-115.64922094421792</c:v>
                </c:pt>
                <c:pt idx="270">
                  <c:v>-115.78513555319991</c:v>
                </c:pt>
                <c:pt idx="271">
                  <c:v>-115.92107946720216</c:v>
                </c:pt>
                <c:pt idx="272">
                  <c:v>-116.05705150885179</c:v>
                </c:pt>
                <c:pt idx="273">
                  <c:v>-116.19625836392078</c:v>
                </c:pt>
                <c:pt idx="274">
                  <c:v>-116.33549226562259</c:v>
                </c:pt>
                <c:pt idx="275">
                  <c:v>-116.47475202378661</c:v>
                </c:pt>
                <c:pt idx="276">
                  <c:v>-116.61403647137099</c:v>
                </c:pt>
                <c:pt idx="277">
                  <c:v>-116.75623358040508</c:v>
                </c:pt>
                <c:pt idx="278">
                  <c:v>-116.89845402732492</c:v>
                </c:pt>
                <c:pt idx="279">
                  <c:v>-117.0406966415333</c:v>
                </c:pt>
                <c:pt idx="280">
                  <c:v>-117.18296027491949</c:v>
                </c:pt>
                <c:pt idx="281">
                  <c:v>-117.329098248847</c:v>
                </c:pt>
                <c:pt idx="282">
                  <c:v>-117.4752560112583</c:v>
                </c:pt>
                <c:pt idx="283">
                  <c:v>-117.62143238831231</c:v>
                </c:pt>
                <c:pt idx="284">
                  <c:v>-117.76762622858297</c:v>
                </c:pt>
                <c:pt idx="285">
                  <c:v>-117.91672862899944</c:v>
                </c:pt>
                <c:pt idx="286">
                  <c:v>-118.06584684037529</c:v>
                </c:pt>
                <c:pt idx="287">
                  <c:v>-118.21497970976733</c:v>
                </c:pt>
                <c:pt idx="288">
                  <c:v>-118.3641261059488</c:v>
                </c:pt>
                <c:pt idx="289">
                  <c:v>-118.5171426292391</c:v>
                </c:pt>
                <c:pt idx="290">
                  <c:v>-118.67017104387851</c:v>
                </c:pt>
                <c:pt idx="291">
                  <c:v>-118.82321019603415</c:v>
                </c:pt>
                <c:pt idx="292">
                  <c:v>-118.9762589534279</c:v>
                </c:pt>
                <c:pt idx="293">
                  <c:v>-119.13285333375028</c:v>
                </c:pt>
                <c:pt idx="294">
                  <c:v>-119.28945543716146</c:v>
                </c:pt>
                <c:pt idx="295">
                  <c:v>-119.4460641173772</c:v>
                </c:pt>
                <c:pt idx="296">
                  <c:v>-119.60267824928076</c:v>
                </c:pt>
                <c:pt idx="297">
                  <c:v>-119.76283435379247</c:v>
                </c:pt>
                <c:pt idx="298">
                  <c:v>-119.92299384475835</c:v>
                </c:pt>
                <c:pt idx="299">
                  <c:v>-120.08315558411239</c:v>
                </c:pt>
                <c:pt idx="300">
                  <c:v>-120.2433184545414</c:v>
                </c:pt>
                <c:pt idx="301">
                  <c:v>-120.40701908591373</c:v>
                </c:pt>
                <c:pt idx="302">
                  <c:v>-120.57071860262033</c:v>
                </c:pt>
                <c:pt idx="303">
                  <c:v>-120.73441587532065</c:v>
                </c:pt>
                <c:pt idx="304">
                  <c:v>-120.8981097949908</c:v>
                </c:pt>
                <c:pt idx="305">
                  <c:v>-121.06597987897865</c:v>
                </c:pt>
                <c:pt idx="306">
                  <c:v>-121.23384413713107</c:v>
                </c:pt>
                <c:pt idx="307">
                  <c:v>-121.40170143633854</c:v>
                </c:pt>
                <c:pt idx="308">
                  <c:v>-121.56955066365926</c:v>
                </c:pt>
                <c:pt idx="309">
                  <c:v>-121.74092747890953</c:v>
                </c:pt>
                <c:pt idx="310">
                  <c:v>-121.91229359535744</c:v>
                </c:pt>
                <c:pt idx="311">
                  <c:v>-122.08364788989041</c:v>
                </c:pt>
                <c:pt idx="312">
                  <c:v>-122.25498925908023</c:v>
                </c:pt>
                <c:pt idx="313">
                  <c:v>-122.43049515071624</c:v>
                </c:pt>
                <c:pt idx="314">
                  <c:v>-122.60598519585139</c:v>
                </c:pt>
                <c:pt idx="315">
                  <c:v>-122.78145826924427</c:v>
                </c:pt>
                <c:pt idx="316">
                  <c:v>-122.95691326513061</c:v>
                </c:pt>
                <c:pt idx="317">
                  <c:v>-123.13652589792225</c:v>
                </c:pt>
                <c:pt idx="318">
                  <c:v>-123.31611729679979</c:v>
                </c:pt>
                <c:pt idx="319">
                  <c:v>-123.49568633528467</c:v>
                </c:pt>
                <c:pt idx="320">
                  <c:v>-123.67523190613689</c:v>
                </c:pt>
                <c:pt idx="321">
                  <c:v>-123.85892752737351</c:v>
                </c:pt>
                <c:pt idx="322">
                  <c:v>-124.04259629067717</c:v>
                </c:pt>
                <c:pt idx="323">
                  <c:v>-124.22623706908618</c:v>
                </c:pt>
                <c:pt idx="324">
                  <c:v>-124.40984875461625</c:v>
                </c:pt>
                <c:pt idx="325">
                  <c:v>-124.59760220545202</c:v>
                </c:pt>
                <c:pt idx="326">
                  <c:v>-124.78532294046394</c:v>
                </c:pt>
                <c:pt idx="327">
                  <c:v>-124.97300983284227</c:v>
                </c:pt>
                <c:pt idx="328">
                  <c:v>-125.16066177447374</c:v>
                </c:pt>
                <c:pt idx="329">
                  <c:v>-125.3527671781755</c:v>
                </c:pt>
                <c:pt idx="330">
                  <c:v>-125.54483364489661</c:v>
                </c:pt>
                <c:pt idx="331">
                  <c:v>-125.7368600428986</c:v>
                </c:pt>
                <c:pt idx="332">
                  <c:v>-125.92884525896834</c:v>
                </c:pt>
                <c:pt idx="333">
                  <c:v>-126.12495342766374</c:v>
                </c:pt>
                <c:pt idx="334">
                  <c:v>-126.32101631530469</c:v>
                </c:pt>
                <c:pt idx="335">
                  <c:v>-126.51703279152731</c:v>
                </c:pt>
                <c:pt idx="336">
                  <c:v>-126.71300174418441</c:v>
                </c:pt>
                <c:pt idx="337">
                  <c:v>-126.91372342830289</c:v>
                </c:pt>
                <c:pt idx="338">
                  <c:v>-127.11439292410074</c:v>
                </c:pt>
                <c:pt idx="339">
                  <c:v>-127.31500909217273</c:v>
                </c:pt>
                <c:pt idx="340">
                  <c:v>-127.51557081124413</c:v>
                </c:pt>
                <c:pt idx="341">
                  <c:v>-127.7208730865503</c:v>
                </c:pt>
                <c:pt idx="342">
                  <c:v>-127.92611595354404</c:v>
                </c:pt>
                <c:pt idx="343">
                  <c:v>-128.13129826473039</c:v>
                </c:pt>
                <c:pt idx="344">
                  <c:v>-128.33641889064157</c:v>
                </c:pt>
                <c:pt idx="345">
                  <c:v>-128.54594767755626</c:v>
                </c:pt>
                <c:pt idx="346">
                  <c:v>-128.75540973097949</c:v>
                </c:pt>
                <c:pt idx="347">
                  <c:v>-128.96480390143614</c:v>
                </c:pt>
                <c:pt idx="348">
                  <c:v>-129.1741290572524</c:v>
                </c:pt>
                <c:pt idx="349">
                  <c:v>-129.38848697989434</c:v>
                </c:pt>
                <c:pt idx="350">
                  <c:v>-129.60277013162903</c:v>
                </c:pt>
                <c:pt idx="351">
                  <c:v>-129.81697735128182</c:v>
                </c:pt>
                <c:pt idx="352">
                  <c:v>-130.03110749546209</c:v>
                </c:pt>
                <c:pt idx="353">
                  <c:v>-130.2502549506778</c:v>
                </c:pt>
                <c:pt idx="354">
                  <c:v>-130.46931924626571</c:v>
                </c:pt>
                <c:pt idx="355">
                  <c:v>-130.68829921042405</c:v>
                </c:pt>
                <c:pt idx="356">
                  <c:v>-130.90719368910567</c:v>
                </c:pt>
                <c:pt idx="357">
                  <c:v>-131.13077109242352</c:v>
                </c:pt>
                <c:pt idx="358">
                  <c:v>-131.35425686089232</c:v>
                </c:pt>
                <c:pt idx="359">
                  <c:v>-131.57764981812235</c:v>
                </c:pt>
                <c:pt idx="360">
                  <c:v>-131.80094880534153</c:v>
                </c:pt>
                <c:pt idx="361">
                  <c:v>-132.02954902702089</c:v>
                </c:pt>
                <c:pt idx="362">
                  <c:v>-132.25804827349421</c:v>
                </c:pt>
                <c:pt idx="363">
                  <c:v>-132.48644535474983</c:v>
                </c:pt>
                <c:pt idx="364">
                  <c:v>-132.71473909845545</c:v>
                </c:pt>
                <c:pt idx="365">
                  <c:v>-132.94799802623496</c:v>
                </c:pt>
                <c:pt idx="366">
                  <c:v>-133.18114655023814</c:v>
                </c:pt>
                <c:pt idx="367">
                  <c:v>-133.41418347297875</c:v>
                </c:pt>
                <c:pt idx="368">
                  <c:v>-133.6471076146118</c:v>
                </c:pt>
                <c:pt idx="369">
                  <c:v>-133.8856101030851</c:v>
                </c:pt>
                <c:pt idx="370">
                  <c:v>-134.12399177482592</c:v>
                </c:pt>
                <c:pt idx="371">
                  <c:v>-134.36225141639912</c:v>
                </c:pt>
                <c:pt idx="372">
                  <c:v>-134.60038783216444</c:v>
                </c:pt>
                <c:pt idx="373">
                  <c:v>-134.84376471935377</c:v>
                </c:pt>
                <c:pt idx="374">
                  <c:v>-135.08701028830194</c:v>
                </c:pt>
                <c:pt idx="375">
                  <c:v>-135.33012331594335</c:v>
                </c:pt>
                <c:pt idx="376">
                  <c:v>-135.57310259706745</c:v>
                </c:pt>
                <c:pt idx="377">
                  <c:v>-135.82192972138893</c:v>
                </c:pt>
                <c:pt idx="378">
                  <c:v>-136.07061392006395</c:v>
                </c:pt>
                <c:pt idx="379">
                  <c:v>-136.31915395249945</c:v>
                </c:pt>
                <c:pt idx="380">
                  <c:v>-136.56754859620489</c:v>
                </c:pt>
                <c:pt idx="381">
                  <c:v>-136.82113707303762</c:v>
                </c:pt>
                <c:pt idx="382">
                  <c:v>-137.07457131398832</c:v>
                </c:pt>
                <c:pt idx="383">
                  <c:v>-137.32785007210683</c:v>
                </c:pt>
                <c:pt idx="384">
                  <c:v>-137.58097211861767</c:v>
                </c:pt>
                <c:pt idx="385">
                  <c:v>-137.84020347407517</c:v>
                </c:pt>
                <c:pt idx="386">
                  <c:v>-138.09926769819813</c:v>
                </c:pt>
                <c:pt idx="387">
                  <c:v>-138.3581635256659</c:v>
                </c:pt>
                <c:pt idx="388">
                  <c:v>-138.61688970968262</c:v>
                </c:pt>
                <c:pt idx="389">
                  <c:v>-138.88138321072307</c:v>
                </c:pt>
                <c:pt idx="390">
                  <c:v>-139.14569660216588</c:v>
                </c:pt>
                <c:pt idx="391">
                  <c:v>-139.40982860719942</c:v>
                </c:pt>
                <c:pt idx="392">
                  <c:v>-139.67377796780659</c:v>
                </c:pt>
                <c:pt idx="393">
                  <c:v>-139.94346513460366</c:v>
                </c:pt>
                <c:pt idx="394">
                  <c:v>-140.21295875975594</c:v>
                </c:pt>
                <c:pt idx="395">
                  <c:v>-140.48225755728717</c:v>
                </c:pt>
                <c:pt idx="396">
                  <c:v>-140.75136026029722</c:v>
                </c:pt>
                <c:pt idx="397">
                  <c:v>-141.02679149484908</c:v>
                </c:pt>
                <c:pt idx="398">
                  <c:v>-141.30201436724238</c:v>
                </c:pt>
                <c:pt idx="399">
                  <c:v>-141.5770275760934</c:v>
                </c:pt>
                <c:pt idx="400">
                  <c:v>-141.85182983956622</c:v>
                </c:pt>
                <c:pt idx="401">
                  <c:v>-142.1326158572486</c:v>
                </c:pt>
                <c:pt idx="402">
                  <c:v>-142.41317864871252</c:v>
                </c:pt>
                <c:pt idx="403">
                  <c:v>-142.69351690458771</c:v>
                </c:pt>
                <c:pt idx="404">
                  <c:v>-142.97362933545025</c:v>
                </c:pt>
                <c:pt idx="405">
                  <c:v>-143.25999937700536</c:v>
                </c:pt>
                <c:pt idx="406">
                  <c:v>-143.54613033496048</c:v>
                </c:pt>
                <c:pt idx="407">
                  <c:v>-143.83202089083272</c:v>
                </c:pt>
                <c:pt idx="408">
                  <c:v>-144.11766974658894</c:v>
                </c:pt>
                <c:pt idx="409">
                  <c:v>-144.40984604883158</c:v>
                </c:pt>
                <c:pt idx="410">
                  <c:v>-144.70176635375245</c:v>
                </c:pt>
                <c:pt idx="411">
                  <c:v>-144.99342933316368</c:v>
                </c:pt>
                <c:pt idx="412">
                  <c:v>-145.28483367993536</c:v>
                </c:pt>
                <c:pt idx="413">
                  <c:v>-145.58272441153673</c:v>
                </c:pt>
                <c:pt idx="414">
                  <c:v>-145.88034167760955</c:v>
                </c:pt>
                <c:pt idx="415">
                  <c:v>-146.17768414433007</c:v>
                </c:pt>
                <c:pt idx="416">
                  <c:v>-146.4747504995587</c:v>
                </c:pt>
                <c:pt idx="417">
                  <c:v>-146.77856609525503</c:v>
                </c:pt>
                <c:pt idx="418">
                  <c:v>-147.0820896296454</c:v>
                </c:pt>
                <c:pt idx="419">
                  <c:v>-147.38531976361989</c:v>
                </c:pt>
                <c:pt idx="420">
                  <c:v>-147.68825518048723</c:v>
                </c:pt>
                <c:pt idx="421">
                  <c:v>-147.99758948406804</c:v>
                </c:pt>
                <c:pt idx="422">
                  <c:v>-148.30661316891164</c:v>
                </c:pt>
                <c:pt idx="423">
                  <c:v>-148.61532489946072</c:v>
                </c:pt>
                <c:pt idx="424">
                  <c:v>-148.92372336323811</c:v>
                </c:pt>
                <c:pt idx="425">
                  <c:v>-149.23938409923602</c:v>
                </c:pt>
                <c:pt idx="426">
                  <c:v>-149.5547132453743</c:v>
                </c:pt>
                <c:pt idx="427">
                  <c:v>-149.86970946316296</c:v>
                </c:pt>
                <c:pt idx="428">
                  <c:v>-150.18437143814779</c:v>
                </c:pt>
                <c:pt idx="429">
                  <c:v>-150.50594063157143</c:v>
                </c:pt>
                <c:pt idx="430">
                  <c:v>-150.82715728512625</c:v>
                </c:pt>
                <c:pt idx="431">
                  <c:v>-151.14802006729391</c:v>
                </c:pt>
                <c:pt idx="432">
                  <c:v>-151.46852767147232</c:v>
                </c:pt>
                <c:pt idx="433">
                  <c:v>-151.79588937253399</c:v>
                </c:pt>
                <c:pt idx="434">
                  <c:v>-152.12287702241466</c:v>
                </c:pt>
                <c:pt idx="435">
                  <c:v>-152.44948930283414</c:v>
                </c:pt>
                <c:pt idx="436">
                  <c:v>-152.7757249213243</c:v>
                </c:pt>
                <c:pt idx="437">
                  <c:v>-153.10935787108141</c:v>
                </c:pt>
                <c:pt idx="438">
                  <c:v>-153.44259329778055</c:v>
                </c:pt>
                <c:pt idx="439">
                  <c:v>-153.77542989606886</c:v>
                </c:pt>
                <c:pt idx="440">
                  <c:v>-154.10786638750747</c:v>
                </c:pt>
                <c:pt idx="441">
                  <c:v>-154.44763924494725</c:v>
                </c:pt>
                <c:pt idx="442">
                  <c:v>-154.78699049438566</c:v>
                </c:pt>
                <c:pt idx="443">
                  <c:v>-155.12591885113738</c:v>
                </c:pt>
                <c:pt idx="444">
                  <c:v>-155.46442305854478</c:v>
                </c:pt>
                <c:pt idx="445">
                  <c:v>-155.81020073319073</c:v>
                </c:pt>
                <c:pt idx="446">
                  <c:v>-156.15553213715577</c:v>
                </c:pt>
                <c:pt idx="447">
                  <c:v>-156.50041601459446</c:v>
                </c:pt>
                <c:pt idx="448">
                  <c:v>-156.84485113880967</c:v>
                </c:pt>
                <c:pt idx="449">
                  <c:v>-157.19708406082643</c:v>
                </c:pt>
                <c:pt idx="450">
                  <c:v>-157.54884392597552</c:v>
                </c:pt>
                <c:pt idx="451">
                  <c:v>-157.90012950977589</c:v>
                </c:pt>
                <c:pt idx="452">
                  <c:v>-158.25093961821955</c:v>
                </c:pt>
                <c:pt idx="453">
                  <c:v>-158.60918305645686</c:v>
                </c:pt>
                <c:pt idx="454">
                  <c:v>-158.96692686124857</c:v>
                </c:pt>
                <c:pt idx="455">
                  <c:v>-159.32416985222866</c:v>
                </c:pt>
                <c:pt idx="456">
                  <c:v>-159.68091088072705</c:v>
                </c:pt>
                <c:pt idx="457">
                  <c:v>-160.04559680137905</c:v>
                </c:pt>
                <c:pt idx="458">
                  <c:v>-160.40975431596061</c:v>
                </c:pt>
                <c:pt idx="459">
                  <c:v>-160.77338229275077</c:v>
                </c:pt>
                <c:pt idx="460">
                  <c:v>-161.13647963314742</c:v>
                </c:pt>
                <c:pt idx="461">
                  <c:v>-161.50744375621295</c:v>
                </c:pt>
                <c:pt idx="462">
                  <c:v>-161.87785013338112</c:v>
                </c:pt>
                <c:pt idx="463">
                  <c:v>-162.24769769286431</c:v>
                </c:pt>
                <c:pt idx="464">
                  <c:v>-162.61698539740186</c:v>
                </c:pt>
                <c:pt idx="465">
                  <c:v>-162.99434754478526</c:v>
                </c:pt>
                <c:pt idx="466">
                  <c:v>-163.37112119703988</c:v>
                </c:pt>
                <c:pt idx="467">
                  <c:v>-163.74730535179742</c:v>
                </c:pt>
                <c:pt idx="468">
                  <c:v>-164.12289904270955</c:v>
                </c:pt>
                <c:pt idx="469">
                  <c:v>-164.50648224392975</c:v>
                </c:pt>
                <c:pt idx="470">
                  <c:v>-164.8894456955498</c:v>
                </c:pt>
                <c:pt idx="471">
                  <c:v>-165.27178847734649</c:v>
                </c:pt>
                <c:pt idx="472">
                  <c:v>-165.6535097065763</c:v>
                </c:pt>
                <c:pt idx="473">
                  <c:v>-166.04370178926317</c:v>
                </c:pt>
                <c:pt idx="474">
                  <c:v>-166.433240524257</c:v>
                </c:pt>
                <c:pt idx="475">
                  <c:v>-166.82212508307802</c:v>
                </c:pt>
                <c:pt idx="476">
                  <c:v>-167.21035467636679</c:v>
                </c:pt>
                <c:pt idx="477">
                  <c:v>-167.60696034633261</c:v>
                </c:pt>
                <c:pt idx="478">
                  <c:v>-168.00287859293172</c:v>
                </c:pt>
                <c:pt idx="479">
                  <c:v>-168.398108694218</c:v>
                </c:pt>
                <c:pt idx="480">
                  <c:v>-168.7926499689498</c:v>
                </c:pt>
                <c:pt idx="481">
                  <c:v>-169.19547041435396</c:v>
                </c:pt>
                <c:pt idx="482">
                  <c:v>-169.59756896237892</c:v>
                </c:pt>
                <c:pt idx="483">
                  <c:v>-169.99894501279516</c:v>
                </c:pt>
                <c:pt idx="484">
                  <c:v>-170.39959800759152</c:v>
                </c:pt>
                <c:pt idx="485">
                  <c:v>-170.80870950013616</c:v>
                </c:pt>
                <c:pt idx="486">
                  <c:v>-171.21706327435521</c:v>
                </c:pt>
                <c:pt idx="487">
                  <c:v>-171.62465886632947</c:v>
                </c:pt>
                <c:pt idx="488">
                  <c:v>-172.03149585590506</c:v>
                </c:pt>
                <c:pt idx="489">
                  <c:v>-172.44723971196638</c:v>
                </c:pt>
                <c:pt idx="490">
                  <c:v>-172.86218763312004</c:v>
                </c:pt>
                <c:pt idx="491">
                  <c:v>-173.27633930710024</c:v>
                </c:pt>
                <c:pt idx="492">
                  <c:v>-173.68969446709187</c:v>
                </c:pt>
                <c:pt idx="493">
                  <c:v>-174.11184416449734</c:v>
                </c:pt>
                <c:pt idx="494">
                  <c:v>-174.53315942247224</c:v>
                </c:pt>
                <c:pt idx="495">
                  <c:v>-174.95364009872208</c:v>
                </c:pt>
                <c:pt idx="496">
                  <c:v>-175.37328609796936</c:v>
                </c:pt>
                <c:pt idx="497">
                  <c:v>-175.80188413483148</c:v>
                </c:pt>
                <c:pt idx="498">
                  <c:v>-176.2296079347046</c:v>
                </c:pt>
                <c:pt idx="499">
                  <c:v>-176.65645754392727</c:v>
                </c:pt>
                <c:pt idx="500">
                  <c:v>-177.08243305740768</c:v>
                </c:pt>
                <c:pt idx="501">
                  <c:v>-177.51751062554683</c:v>
                </c:pt>
                <c:pt idx="502">
                  <c:v>-177.95167290077549</c:v>
                </c:pt>
                <c:pt idx="503">
                  <c:v>-178.38492013810625</c:v>
                </c:pt>
                <c:pt idx="504">
                  <c:v>-178.81725264263963</c:v>
                </c:pt>
                <c:pt idx="505">
                  <c:v>-179.25856231430444</c:v>
                </c:pt>
                <c:pt idx="506">
                  <c:v>-179.6989155827589</c:v>
                </c:pt>
                <c:pt idx="507">
                  <c:v>-180.1383129321803</c:v>
                </c:pt>
                <c:pt idx="508">
                  <c:v>-180.5767548981745</c:v>
                </c:pt>
                <c:pt idx="509">
                  <c:v>-181.02431238919061</c:v>
                </c:pt>
                <c:pt idx="510">
                  <c:v>-181.4708712524872</c:v>
                </c:pt>
                <c:pt idx="511">
                  <c:v>-181.91643222321341</c:v>
                </c:pt>
                <c:pt idx="512">
                  <c:v>-182.36099608921279</c:v>
                </c:pt>
                <c:pt idx="513">
                  <c:v>-182.81506891741239</c:v>
                </c:pt>
                <c:pt idx="514">
                  <c:v>-183.26809863237213</c:v>
                </c:pt>
                <c:pt idx="515">
                  <c:v>-183.72008624511182</c:v>
                </c:pt>
                <c:pt idx="516">
                  <c:v>-184.17103282063883</c:v>
                </c:pt>
                <c:pt idx="517">
                  <c:v>-184.63134770057709</c:v>
                </c:pt>
                <c:pt idx="518">
                  <c:v>-185.09057518538631</c:v>
                </c:pt>
                <c:pt idx="519">
                  <c:v>-185.54871658510623</c:v>
                </c:pt>
                <c:pt idx="520">
                  <c:v>-186.0057732648111</c:v>
                </c:pt>
                <c:pt idx="521">
                  <c:v>-186.47231382312216</c:v>
                </c:pt>
                <c:pt idx="522">
                  <c:v>-186.93772180311245</c:v>
                </c:pt>
                <c:pt idx="523">
                  <c:v>-187.40199883944769</c:v>
                </c:pt>
                <c:pt idx="524">
                  <c:v>-187.86514662272876</c:v>
                </c:pt>
                <c:pt idx="525">
                  <c:v>-188.33788628435735</c:v>
                </c:pt>
                <c:pt idx="526">
                  <c:v>-188.8094473742305</c:v>
                </c:pt>
                <c:pt idx="527">
                  <c:v>-189.27983187842543</c:v>
                </c:pt>
                <c:pt idx="528">
                  <c:v>-189.74904183968752</c:v>
                </c:pt>
                <c:pt idx="529">
                  <c:v>-190.2279441408879</c:v>
                </c:pt>
                <c:pt idx="530">
                  <c:v>-190.70562116839909</c:v>
                </c:pt>
                <c:pt idx="531">
                  <c:v>-191.18207528762713</c:v>
                </c:pt>
                <c:pt idx="532">
                  <c:v>-191.65730892118307</c:v>
                </c:pt>
                <c:pt idx="533">
                  <c:v>-192.14257794743747</c:v>
                </c:pt>
                <c:pt idx="534">
                  <c:v>-192.62657308929599</c:v>
                </c:pt>
                <c:pt idx="535">
                  <c:v>-193.10929712482198</c:v>
                </c:pt>
                <c:pt idx="536">
                  <c:v>-193.59075288971965</c:v>
                </c:pt>
                <c:pt idx="537">
                  <c:v>-194.08183076376</c:v>
                </c:pt>
                <c:pt idx="538">
                  <c:v>-194.57158830256699</c:v>
                </c:pt>
                <c:pt idx="539">
                  <c:v>-195.06002871828122</c:v>
                </c:pt>
                <c:pt idx="540">
                  <c:v>-195.54715528063835</c:v>
                </c:pt>
                <c:pt idx="541">
                  <c:v>-196.04447579626603</c:v>
                </c:pt>
                <c:pt idx="542">
                  <c:v>-196.54042652157969</c:v>
                </c:pt>
                <c:pt idx="543">
                  <c:v>-197.03501114343263</c:v>
                </c:pt>
                <c:pt idx="544">
                  <c:v>-197.52823340618988</c:v>
                </c:pt>
                <c:pt idx="545">
                  <c:v>-198.03147463163987</c:v>
                </c:pt>
                <c:pt idx="546">
                  <c:v>-198.53329776016437</c:v>
                </c:pt>
                <c:pt idx="547">
                  <c:v>-199.03370698032458</c:v>
                </c:pt>
                <c:pt idx="548">
                  <c:v>-199.53270653770105</c:v>
                </c:pt>
                <c:pt idx="549">
                  <c:v>-200.04178921357905</c:v>
                </c:pt>
                <c:pt idx="550">
                  <c:v>-200.54940545399435</c:v>
                </c:pt>
                <c:pt idx="551">
                  <c:v>-201.05555998178056</c:v>
                </c:pt>
                <c:pt idx="552">
                  <c:v>-201.56025757598474</c:v>
                </c:pt>
                <c:pt idx="553">
                  <c:v>-202.07533226139813</c:v>
                </c:pt>
                <c:pt idx="554">
                  <c:v>-202.58889091716713</c:v>
                </c:pt>
                <c:pt idx="555">
                  <c:v>-203.10093884100598</c:v>
                </c:pt>
                <c:pt idx="556">
                  <c:v>-203.61148138580614</c:v>
                </c:pt>
                <c:pt idx="557">
                  <c:v>-204.65184860600192</c:v>
                </c:pt>
                <c:pt idx="558">
                  <c:v>-205.68597822649423</c:v>
                </c:pt>
                <c:pt idx="559">
                  <c:v>-206.73740773432237</c:v>
                </c:pt>
                <c:pt idx="560">
                  <c:v>-207.78241268390471</c:v>
                </c:pt>
                <c:pt idx="561">
                  <c:v>-208.84561155392015</c:v>
                </c:pt>
                <c:pt idx="562">
                  <c:v>-209.90219059504545</c:v>
                </c:pt>
                <c:pt idx="563">
                  <c:v>-210.97466937823037</c:v>
                </c:pt>
                <c:pt idx="564">
                  <c:v>-212.04036531328083</c:v>
                </c:pt>
                <c:pt idx="565">
                  <c:v>-213.12595290910045</c:v>
                </c:pt>
                <c:pt idx="566">
                  <c:v>-214.20454808567303</c:v>
                </c:pt>
                <c:pt idx="567">
                  <c:v>-215.30248716274772</c:v>
                </c:pt>
                <c:pt idx="568">
                  <c:v>-216.39323583829324</c:v>
                </c:pt>
                <c:pt idx="569">
                  <c:v>-217.49847178516373</c:v>
                </c:pt>
                <c:pt idx="570">
                  <c:v>-218.59638929626581</c:v>
                </c:pt>
                <c:pt idx="571">
                  <c:v>-219.71691036897798</c:v>
                </c:pt>
                <c:pt idx="572">
                  <c:v>-220.82988382410878</c:v>
                </c:pt>
                <c:pt idx="573">
                  <c:v>-221.95642650623626</c:v>
                </c:pt>
                <c:pt idx="574">
                  <c:v>-223.07532229327822</c:v>
                </c:pt>
                <c:pt idx="575">
                  <c:v>-224.21570433131052</c:v>
                </c:pt>
                <c:pt idx="576">
                  <c:v>-225.34824153482751</c:v>
                </c:pt>
                <c:pt idx="577">
                  <c:v>-230.05846473464518</c:v>
                </c:pt>
                <c:pt idx="578">
                  <c:v>-234.63809602645568</c:v>
                </c:pt>
                <c:pt idx="579">
                  <c:v>-244.25698387589799</c:v>
                </c:pt>
                <c:pt idx="580">
                  <c:v>-254.23917061535181</c:v>
                </c:pt>
                <c:pt idx="581">
                  <c:v>-264.61749814647789</c:v>
                </c:pt>
                <c:pt idx="582">
                  <c:v>-275.49091708619517</c:v>
                </c:pt>
                <c:pt idx="583">
                  <c:v>-287.01515730826321</c:v>
                </c:pt>
                <c:pt idx="584">
                  <c:v>-299.47569920184606</c:v>
                </c:pt>
                <c:pt idx="585">
                  <c:v>-313.3178862527339</c:v>
                </c:pt>
                <c:pt idx="586">
                  <c:v>-329.24708277112956</c:v>
                </c:pt>
                <c:pt idx="587">
                  <c:v>-348.23343159909194</c:v>
                </c:pt>
                <c:pt idx="588">
                  <c:v>-371.06996168199083</c:v>
                </c:pt>
                <c:pt idx="589">
                  <c:v>-217.15196009806382</c:v>
                </c:pt>
                <c:pt idx="590">
                  <c:v>-243.52968075322846</c:v>
                </c:pt>
                <c:pt idx="591">
                  <c:v>-267.28195206068335</c:v>
                </c:pt>
                <c:pt idx="592">
                  <c:v>-288.03697717227368</c:v>
                </c:pt>
                <c:pt idx="593">
                  <c:v>-307.41529000785903</c:v>
                </c:pt>
                <c:pt idx="594">
                  <c:v>-328.23256940890877</c:v>
                </c:pt>
                <c:pt idx="595">
                  <c:v>-355.35776783833427</c:v>
                </c:pt>
                <c:pt idx="596">
                  <c:v>-395.37566691871297</c:v>
                </c:pt>
                <c:pt idx="597">
                  <c:v>-260.94195442940907</c:v>
                </c:pt>
                <c:pt idx="598">
                  <c:v>-295.86242194898733</c:v>
                </c:pt>
                <c:pt idx="599">
                  <c:v>-325.97953776667293</c:v>
                </c:pt>
                <c:pt idx="600">
                  <c:v>-367.85983955528957</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346.89635907416937</c:v>
                </c:pt>
                <c:pt idx="92">
                  <c:v>343.12574647553714</c:v>
                </c:pt>
                <c:pt idx="93">
                  <c:v>339.43622231988616</c:v>
                </c:pt>
                <c:pt idx="94">
                  <c:v>335.8251986781853</c:v>
                </c:pt>
                <c:pt idx="95">
                  <c:v>332.29019658683598</c:v>
                </c:pt>
                <c:pt idx="96">
                  <c:v>328.82884037238978</c:v>
                </c:pt>
                <c:pt idx="97">
                  <c:v>325.4388523273135</c:v>
                </c:pt>
                <c:pt idx="98">
                  <c:v>322.11804771172882</c:v>
                </c:pt>
                <c:pt idx="99">
                  <c:v>318.86433005807493</c:v>
                </c:pt>
                <c:pt idx="100">
                  <c:v>315.67568675749413</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5.64E-3</c:v>
                </c:pt>
                <c:pt idx="1">
                  <c:v>1.3617777777777782E-2</c:v>
                </c:pt>
                <c:pt idx="2">
                  <c:v>2.7235555555555565E-2</c:v>
                </c:pt>
                <c:pt idx="3">
                  <c:v>4.0853333333333346E-2</c:v>
                </c:pt>
                <c:pt idx="4">
                  <c:v>5.447111111111113E-2</c:v>
                </c:pt>
                <c:pt idx="5">
                  <c:v>6.8088888888888921E-2</c:v>
                </c:pt>
                <c:pt idx="6">
                  <c:v>8.1706666666666691E-2</c:v>
                </c:pt>
                <c:pt idx="7">
                  <c:v>9.5324444444444476E-2</c:v>
                </c:pt>
                <c:pt idx="8">
                  <c:v>0.10894222222222226</c:v>
                </c:pt>
                <c:pt idx="9">
                  <c:v>0.12256000000000002</c:v>
                </c:pt>
                <c:pt idx="10">
                  <c:v>0.13617777777777784</c:v>
                </c:pt>
                <c:pt idx="11">
                  <c:v>0.15067603597536122</c:v>
                </c:pt>
                <c:pt idx="12">
                  <c:v>0.17168289480842583</c:v>
                </c:pt>
                <c:pt idx="13">
                  <c:v>0.17988149734316686</c:v>
                </c:pt>
                <c:pt idx="14">
                  <c:v>0.18667185177983736</c:v>
                </c:pt>
                <c:pt idx="15">
                  <c:v>0.19322372371788973</c:v>
                </c:pt>
                <c:pt idx="16">
                  <c:v>0.19956060374708545</c:v>
                </c:pt>
                <c:pt idx="17">
                  <c:v>0.20570236199031613</c:v>
                </c:pt>
                <c:pt idx="18">
                  <c:v>0.21166598425086838</c:v>
                </c:pt>
                <c:pt idx="19">
                  <c:v>0.21746612621137737</c:v>
                </c:pt>
                <c:pt idx="20">
                  <c:v>0.22311553780469109</c:v>
                </c:pt>
                <c:pt idx="21">
                  <c:v>0.22862539310052674</c:v>
                </c:pt>
                <c:pt idx="22">
                  <c:v>0.23400555021380193</c:v>
                </c:pt>
                <c:pt idx="23">
                  <c:v>0.23926475856539764</c:v>
                </c:pt>
                <c:pt idx="24">
                  <c:v>0.2444108259710519</c:v>
                </c:pt>
                <c:pt idx="25">
                  <c:v>0.24945075468385675</c:v>
                </c:pt>
                <c:pt idx="26">
                  <c:v>0.25439085316268645</c:v>
                </c:pt>
                <c:pt idx="27">
                  <c:v>0.25923682865930398</c:v>
                </c:pt>
                <c:pt idx="28">
                  <c:v>0.26399386450034618</c:v>
                </c:pt>
                <c:pt idx="29">
                  <c:v>0.26866668504732955</c:v>
                </c:pt>
                <c:pt idx="30">
                  <c:v>0.27325961065407156</c:v>
                </c:pt>
                <c:pt idx="31">
                  <c:v>0.27777660444196628</c:v>
                </c:pt>
                <c:pt idx="32">
                  <c:v>0.28222131233449127</c:v>
                </c:pt>
                <c:pt idx="33">
                  <c:v>0.2865970975015209</c:v>
                </c:pt>
                <c:pt idx="34">
                  <c:v>0.29090707013888495</c:v>
                </c:pt>
                <c:pt idx="35">
                  <c:v>0.29515411333282138</c:v>
                </c:pt>
                <c:pt idx="36">
                  <c:v>0.29934090562062804</c:v>
                </c:pt>
                <c:pt idx="37">
                  <c:v>0.30346994074911532</c:v>
                </c:pt>
                <c:pt idx="38">
                  <c:v>0.30754354504486908</c:v>
                </c:pt>
                <c:pt idx="39">
                  <c:v>0.31156389273993107</c:v>
                </c:pt>
                <c:pt idx="40">
                  <c:v>0.31553301953956114</c:v>
                </c:pt>
                <c:pt idx="41">
                  <c:v>0.31945283467242375</c:v>
                </c:pt>
                <c:pt idx="42">
                  <c:v>0.32332513162564508</c:v>
                </c:pt>
                <c:pt idx="43">
                  <c:v>0.32715159773602598</c:v>
                </c:pt>
                <c:pt idx="44">
                  <c:v>0.33093382278293704</c:v>
                </c:pt>
                <c:pt idx="45">
                  <c:v>0.33467330670703666</c:v>
                </c:pt>
                <c:pt idx="46">
                  <c:v>0.3383714665611095</c:v>
                </c:pt>
                <c:pt idx="47">
                  <c:v>0.34202964278437892</c:v>
                </c:pt>
                <c:pt idx="48">
                  <c:v>0.34564910487907191</c:v>
                </c:pt>
                <c:pt idx="49">
                  <c:v>0.34923105655739944</c:v>
                </c:pt>
                <c:pt idx="50">
                  <c:v>0.35277664041811396</c:v>
                </c:pt>
                <c:pt idx="51">
                  <c:v>0.35628694220415258</c:v>
                </c:pt>
                <c:pt idx="52">
                  <c:v>0.35976299468633371</c:v>
                </c:pt>
                <c:pt idx="53">
                  <c:v>0.36320578121248676</c:v>
                </c:pt>
                <c:pt idx="54">
                  <c:v>0.36661623895657791</c:v>
                </c:pt>
                <c:pt idx="55">
                  <c:v>0.36999526189825793</c:v>
                </c:pt>
                <c:pt idx="56">
                  <c:v>0.37334370355967472</c:v>
                </c:pt>
                <c:pt idx="57">
                  <c:v>0.37666237952329157</c:v>
                </c:pt>
                <c:pt idx="58">
                  <c:v>0.37995206975175427</c:v>
                </c:pt>
                <c:pt idx="59">
                  <c:v>0.38321352072850429</c:v>
                </c:pt>
                <c:pt idx="60">
                  <c:v>0.38644744743577947</c:v>
                </c:pt>
                <c:pt idx="61">
                  <c:v>0.38965453518485244</c:v>
                </c:pt>
                <c:pt idx="62">
                  <c:v>0.39283544131177517</c:v>
                </c:pt>
                <c:pt idx="63">
                  <c:v>0.39599079675051935</c:v>
                </c:pt>
                <c:pt idx="64">
                  <c:v>0.3991212074941709</c:v>
                </c:pt>
                <c:pt idx="65">
                  <c:v>0.40222725595376896</c:v>
                </c:pt>
                <c:pt idx="66">
                  <c:v>0.40530950222341516</c:v>
                </c:pt>
                <c:pt idx="67">
                  <c:v>0.4083684852594362</c:v>
                </c:pt>
                <c:pt idx="68">
                  <c:v>0.41140472398063227</c:v>
                </c:pt>
                <c:pt idx="69">
                  <c:v>0.41441871829596938</c:v>
                </c:pt>
                <c:pt idx="70">
                  <c:v>0.41741095006548146</c:v>
                </c:pt>
                <c:pt idx="71">
                  <c:v>0.42038188399961013</c:v>
                </c:pt>
                <c:pt idx="72">
                  <c:v>0.42333196850173677</c:v>
                </c:pt>
                <c:pt idx="73">
                  <c:v>0.42626163645823129</c:v>
                </c:pt>
                <c:pt idx="74">
                  <c:v>0.42917130597995845</c:v>
                </c:pt>
                <c:pt idx="75">
                  <c:v>0.4320613810988399</c:v>
                </c:pt>
                <c:pt idx="76">
                  <c:v>0.43493225242275474</c:v>
                </c:pt>
                <c:pt idx="77">
                  <c:v>0.43778429775178629</c:v>
                </c:pt>
                <c:pt idx="78">
                  <c:v>0.44061788265856683</c:v>
                </c:pt>
                <c:pt idx="79">
                  <c:v>0.44343336103524322</c:v>
                </c:pt>
                <c:pt idx="80">
                  <c:v>0.44623107560938219</c:v>
                </c:pt>
                <c:pt idx="81">
                  <c:v>0.44901135843094209</c:v>
                </c:pt>
                <c:pt idx="82">
                  <c:v>0.4517745313322718</c:v>
                </c:pt>
                <c:pt idx="83">
                  <c:v>0.45452090636293907</c:v>
                </c:pt>
                <c:pt idx="84">
                  <c:v>0.45725078620105347</c:v>
                </c:pt>
                <c:pt idx="85">
                  <c:v>0.45996446454261575</c:v>
                </c:pt>
                <c:pt idx="86">
                  <c:v>0.46266222647031507</c:v>
                </c:pt>
                <c:pt idx="87">
                  <c:v>0.46534434880308034</c:v>
                </c:pt>
                <c:pt idx="88">
                  <c:v>0.46801110042760385</c:v>
                </c:pt>
                <c:pt idx="89">
                  <c:v>0.47066274261295693</c:v>
                </c:pt>
                <c:pt idx="90">
                  <c:v>0.47329952930934177</c:v>
                </c:pt>
                <c:pt idx="91">
                  <c:v>0.47592170743194545</c:v>
                </c:pt>
                <c:pt idx="92">
                  <c:v>0.47852951713079528</c:v>
                </c:pt>
                <c:pt idx="93">
                  <c:v>0.48112319204744841</c:v>
                </c:pt>
                <c:pt idx="94">
                  <c:v>0.4837029595592936</c:v>
                </c:pt>
                <c:pt idx="95">
                  <c:v>0.48626904101218854</c:v>
                </c:pt>
                <c:pt idx="96">
                  <c:v>0.48882165194210381</c:v>
                </c:pt>
                <c:pt idx="97">
                  <c:v>0.49136100228640572</c:v>
                </c:pt>
                <c:pt idx="98">
                  <c:v>0.49388729658535968</c:v>
                </c:pt>
                <c:pt idx="99">
                  <c:v>0.49640073417440561</c:v>
                </c:pt>
                <c:pt idx="100">
                  <c:v>0.49890150936771349</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6.5076923076923072E-3</c:v>
                </c:pt>
                <c:pt idx="1">
                  <c:v>1.5712820512820518E-2</c:v>
                </c:pt>
                <c:pt idx="2">
                  <c:v>3.1425641025641035E-2</c:v>
                </c:pt>
                <c:pt idx="3">
                  <c:v>4.7138461538461553E-2</c:v>
                </c:pt>
                <c:pt idx="4">
                  <c:v>6.285128205128207E-2</c:v>
                </c:pt>
                <c:pt idx="5">
                  <c:v>7.8564102564102595E-2</c:v>
                </c:pt>
                <c:pt idx="6">
                  <c:v>9.4276923076923105E-2</c:v>
                </c:pt>
                <c:pt idx="7">
                  <c:v>0.10998974358974363</c:v>
                </c:pt>
                <c:pt idx="8">
                  <c:v>0.12570256410256414</c:v>
                </c:pt>
                <c:pt idx="9">
                  <c:v>0.14141538461538464</c:v>
                </c:pt>
                <c:pt idx="10">
                  <c:v>0.15712820512820519</c:v>
                </c:pt>
                <c:pt idx="11">
                  <c:v>0.17284102564102569</c:v>
                </c:pt>
                <c:pt idx="12">
                  <c:v>0.18855384615384621</c:v>
                </c:pt>
                <c:pt idx="13">
                  <c:v>0.19690450633590029</c:v>
                </c:pt>
                <c:pt idx="14">
                  <c:v>0.20433746307656858</c:v>
                </c:pt>
                <c:pt idx="15">
                  <c:v>0.21150936862879494</c:v>
                </c:pt>
                <c:pt idx="16">
                  <c:v>0.21844593660431152</c:v>
                </c:pt>
                <c:pt idx="17">
                  <c:v>0.22516891752663895</c:v>
                </c:pt>
                <c:pt idx="18">
                  <c:v>0.23169690464333303</c:v>
                </c:pt>
                <c:pt idx="19">
                  <c:v>0.23804594057132167</c:v>
                </c:pt>
                <c:pt idx="20">
                  <c:v>0.24422998182792513</c:v>
                </c:pt>
                <c:pt idx="21">
                  <c:v>0.25026125993619558</c:v>
                </c:pt>
                <c:pt idx="22">
                  <c:v>0.2561505659295632</c:v>
                </c:pt>
                <c:pt idx="23">
                  <c:v>0.26190747722663227</c:v>
                </c:pt>
                <c:pt idx="24">
                  <c:v>0.26754054053246273</c:v>
                </c:pt>
                <c:pt idx="25">
                  <c:v>0.27305742075538947</c:v>
                </c:pt>
                <c:pt idx="26">
                  <c:v>0.27846502335260925</c:v>
                </c:pt>
                <c:pt idx="27">
                  <c:v>0.28376959567922821</c:v>
                </c:pt>
                <c:pt idx="28">
                  <c:v>0.2889768115837949</c:v>
                </c:pt>
                <c:pt idx="29">
                  <c:v>0.29409184251576836</c:v>
                </c:pt>
                <c:pt idx="30">
                  <c:v>0.29911941768381223</c:v>
                </c:pt>
                <c:pt idx="31">
                  <c:v>0.30406387525762796</c:v>
                </c:pt>
                <c:pt idx="32">
                  <c:v>0.30892920619111069</c:v>
                </c:pt>
                <c:pt idx="33">
                  <c:v>0.31371909192628561</c:v>
                </c:pt>
                <c:pt idx="34">
                  <c:v>0.31843693699104175</c:v>
                </c:pt>
                <c:pt idx="35">
                  <c:v>0.32308589731125698</c:v>
                </c:pt>
                <c:pt idx="36">
                  <c:v>0.32766890490646727</c:v>
                </c:pt>
                <c:pt idx="37">
                  <c:v>0.33218868951815167</c:v>
                </c:pt>
                <c:pt idx="38">
                  <c:v>0.33664779762382291</c:v>
                </c:pt>
                <c:pt idx="39">
                  <c:v>0.3410486092130473</c:v>
                </c:pt>
                <c:pt idx="40">
                  <c:v>0.34539335263918625</c:v>
                </c:pt>
                <c:pt idx="41">
                  <c:v>0.34968411780994668</c:v>
                </c:pt>
                <c:pt idx="42">
                  <c:v>0.35392286793834626</c:v>
                </c:pt>
                <c:pt idx="43">
                  <c:v>0.35811145004158634</c:v>
                </c:pt>
                <c:pt idx="44">
                  <c:v>0.36225160434713188</c:v>
                </c:pt>
                <c:pt idx="45">
                  <c:v>0.36634497274188765</c:v>
                </c:pt>
                <c:pt idx="46">
                  <c:v>0.37039310638082595</c:v>
                </c:pt>
                <c:pt idx="47">
                  <c:v>0.37439747255506584</c:v>
                </c:pt>
                <c:pt idx="48">
                  <c:v>0.37835946090563766</c:v>
                </c:pt>
                <c:pt idx="49">
                  <c:v>0.38228038905754519</c:v>
                </c:pt>
                <c:pt idx="50">
                  <c:v>0.38616150773888841</c:v>
                </c:pt>
                <c:pt idx="51">
                  <c:v>0.39000400544142494</c:v>
                </c:pt>
                <c:pt idx="52">
                  <c:v>0.39380901267180057</c:v>
                </c:pt>
                <c:pt idx="53">
                  <c:v>0.39757760583654844</c:v>
                </c:pt>
                <c:pt idx="54">
                  <c:v>0.40131081079869418</c:v>
                </c:pt>
                <c:pt idx="55">
                  <c:v>0.40500960613927267</c:v>
                </c:pt>
                <c:pt idx="56">
                  <c:v>0.40867492615313716</c:v>
                </c:pt>
                <c:pt idx="57">
                  <c:v>0.41230766360505061</c:v>
                </c:pt>
                <c:pt idx="58">
                  <c:v>0.41590867226909201</c:v>
                </c:pt>
                <c:pt idx="59">
                  <c:v>0.41947876927184574</c:v>
                </c:pt>
                <c:pt idx="60">
                  <c:v>0.42301873725758987</c:v>
                </c:pt>
                <c:pt idx="61">
                  <c:v>0.42652932639173741</c:v>
                </c:pt>
                <c:pt idx="62">
                  <c:v>0.43001125621705855</c:v>
                </c:pt>
                <c:pt idx="63">
                  <c:v>0.43346521737569227</c:v>
                </c:pt>
                <c:pt idx="64">
                  <c:v>0.43689187320862305</c:v>
                </c:pt>
                <c:pt idx="65">
                  <c:v>0.4402918612431112</c:v>
                </c:pt>
                <c:pt idx="66">
                  <c:v>0.44366579457752481</c:v>
                </c:pt>
                <c:pt idx="67">
                  <c:v>0.44701426317209375</c:v>
                </c:pt>
                <c:pt idx="68">
                  <c:v>0.4503378350532779</c:v>
                </c:pt>
                <c:pt idx="69">
                  <c:v>0.45363705743871569</c:v>
                </c:pt>
                <c:pt idx="70">
                  <c:v>0.45691245778906076</c:v>
                </c:pt>
                <c:pt idx="71">
                  <c:v>0.46016454479242919</c:v>
                </c:pt>
                <c:pt idx="72">
                  <c:v>0.46339380928666607</c:v>
                </c:pt>
                <c:pt idx="73">
                  <c:v>0.46660072512415846</c:v>
                </c:pt>
                <c:pt idx="74">
                  <c:v>0.4697857499835153</c:v>
                </c:pt>
                <c:pt idx="75">
                  <c:v>0.47294932613204704</c:v>
                </c:pt>
                <c:pt idx="76">
                  <c:v>0.47609188114264334</c:v>
                </c:pt>
                <c:pt idx="77">
                  <c:v>0.47921382856833783</c:v>
                </c:pt>
                <c:pt idx="78">
                  <c:v>0.48231556857757318</c:v>
                </c:pt>
                <c:pt idx="79">
                  <c:v>0.48539748855292919</c:v>
                </c:pt>
                <c:pt idx="80">
                  <c:v>0.48845996365585026</c:v>
                </c:pt>
                <c:pt idx="81">
                  <c:v>0.49150335735970113</c:v>
                </c:pt>
                <c:pt idx="82">
                  <c:v>0.4945280219532977</c:v>
                </c:pt>
                <c:pt idx="83">
                  <c:v>0.49753429901688667</c:v>
                </c:pt>
                <c:pt idx="84">
                  <c:v>0.50052251987239116</c:v>
                </c:pt>
                <c:pt idx="85">
                  <c:v>0.50349300600960856</c:v>
                </c:pt>
                <c:pt idx="86">
                  <c:v>0.50644606948990645</c:v>
                </c:pt>
                <c:pt idx="87">
                  <c:v>0.5093820133288558</c:v>
                </c:pt>
                <c:pt idx="88">
                  <c:v>0.5123011318591264</c:v>
                </c:pt>
                <c:pt idx="89">
                  <c:v>0.51520371107487706</c:v>
                </c:pt>
                <c:pt idx="90">
                  <c:v>0.51809002895877931</c:v>
                </c:pt>
                <c:pt idx="91">
                  <c:v>0.51634071613280974</c:v>
                </c:pt>
                <c:pt idx="92">
                  <c:v>0.51352684931950254</c:v>
                </c:pt>
                <c:pt idx="93">
                  <c:v>0.51075849034175325</c:v>
                </c:pt>
                <c:pt idx="94">
                  <c:v>0.50803442563687051</c:v>
                </c:pt>
                <c:pt idx="95">
                  <c:v>0.50535348647129008</c:v>
                </c:pt>
                <c:pt idx="96">
                  <c:v>0.50271454683366901</c:v>
                </c:pt>
                <c:pt idx="97">
                  <c:v>0.50011652144775609</c:v>
                </c:pt>
                <c:pt idx="98">
                  <c:v>0.49755836389707347</c:v>
                </c:pt>
                <c:pt idx="99">
                  <c:v>0.54096045197740128</c:v>
                </c:pt>
                <c:pt idx="100">
                  <c:v>0.54096045197740117</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3.2538461538461536E-3</c:v>
                </c:pt>
                <c:pt idx="1">
                  <c:v>7.8564102564102588E-3</c:v>
                </c:pt>
                <c:pt idx="2">
                  <c:v>1.5712820512820518E-2</c:v>
                </c:pt>
                <c:pt idx="3">
                  <c:v>2.3569230769230776E-2</c:v>
                </c:pt>
                <c:pt idx="4">
                  <c:v>3.1425641025641035E-2</c:v>
                </c:pt>
                <c:pt idx="5">
                  <c:v>3.9282051282051297E-2</c:v>
                </c:pt>
                <c:pt idx="6">
                  <c:v>4.7138461538461553E-2</c:v>
                </c:pt>
                <c:pt idx="7">
                  <c:v>5.4994871794871815E-2</c:v>
                </c:pt>
                <c:pt idx="8">
                  <c:v>6.285128205128207E-2</c:v>
                </c:pt>
                <c:pt idx="9">
                  <c:v>7.0707692307692319E-2</c:v>
                </c:pt>
                <c:pt idx="10">
                  <c:v>7.8564102564102595E-2</c:v>
                </c:pt>
                <c:pt idx="11">
                  <c:v>8.6420512820512843E-2</c:v>
                </c:pt>
                <c:pt idx="12">
                  <c:v>9.4276923076923105E-2</c:v>
                </c:pt>
                <c:pt idx="13">
                  <c:v>9.8452253167950143E-2</c:v>
                </c:pt>
                <c:pt idx="14">
                  <c:v>0.10216873153828429</c:v>
                </c:pt>
                <c:pt idx="15">
                  <c:v>0.10575468431439747</c:v>
                </c:pt>
                <c:pt idx="16">
                  <c:v>0.10922296830215576</c:v>
                </c:pt>
                <c:pt idx="17">
                  <c:v>0.11258445876331948</c:v>
                </c:pt>
                <c:pt idx="18">
                  <c:v>0.11584845232166652</c:v>
                </c:pt>
                <c:pt idx="19">
                  <c:v>0.11902297028566083</c:v>
                </c:pt>
                <c:pt idx="20">
                  <c:v>0.12211499091396257</c:v>
                </c:pt>
                <c:pt idx="21">
                  <c:v>0.12513062996809779</c:v>
                </c:pt>
                <c:pt idx="22">
                  <c:v>0.1280752829647816</c:v>
                </c:pt>
                <c:pt idx="23">
                  <c:v>0.13095373861331613</c:v>
                </c:pt>
                <c:pt idx="24">
                  <c:v>0.13377027026623137</c:v>
                </c:pt>
                <c:pt idx="25">
                  <c:v>0.13652871037769473</c:v>
                </c:pt>
                <c:pt idx="26">
                  <c:v>0.13923251167630463</c:v>
                </c:pt>
                <c:pt idx="27">
                  <c:v>0.14188479783961411</c:v>
                </c:pt>
                <c:pt idx="28">
                  <c:v>0.14448840579189745</c:v>
                </c:pt>
                <c:pt idx="29">
                  <c:v>0.14704592125788418</c:v>
                </c:pt>
                <c:pt idx="30">
                  <c:v>0.14955970884190611</c:v>
                </c:pt>
                <c:pt idx="31">
                  <c:v>0.15203193762881398</c:v>
                </c:pt>
                <c:pt idx="32">
                  <c:v>0.15446460309555535</c:v>
                </c:pt>
                <c:pt idx="33">
                  <c:v>0.1568595459631428</c:v>
                </c:pt>
                <c:pt idx="34">
                  <c:v>0.15921846849552088</c:v>
                </c:pt>
                <c:pt idx="35">
                  <c:v>0.16154294865562849</c:v>
                </c:pt>
                <c:pt idx="36">
                  <c:v>0.16383445245323364</c:v>
                </c:pt>
                <c:pt idx="37">
                  <c:v>0.16609434475907583</c:v>
                </c:pt>
                <c:pt idx="38">
                  <c:v>0.16832389881191145</c:v>
                </c:pt>
                <c:pt idx="39">
                  <c:v>0.17052430460652365</c:v>
                </c:pt>
                <c:pt idx="40">
                  <c:v>0.17269667631959312</c:v>
                </c:pt>
                <c:pt idx="41">
                  <c:v>0.17484205890497334</c:v>
                </c:pt>
                <c:pt idx="42">
                  <c:v>0.17696143396917313</c:v>
                </c:pt>
                <c:pt idx="43">
                  <c:v>0.17905572502079317</c:v>
                </c:pt>
                <c:pt idx="44">
                  <c:v>0.18112580217356594</c:v>
                </c:pt>
                <c:pt idx="45">
                  <c:v>0.18317248637094383</c:v>
                </c:pt>
                <c:pt idx="46">
                  <c:v>0.18519655319041298</c:v>
                </c:pt>
                <c:pt idx="47">
                  <c:v>0.18719873627753292</c:v>
                </c:pt>
                <c:pt idx="48">
                  <c:v>0.18917973045281883</c:v>
                </c:pt>
                <c:pt idx="49">
                  <c:v>0.19114019452877259</c:v>
                </c:pt>
                <c:pt idx="50">
                  <c:v>0.1930807538694442</c:v>
                </c:pt>
                <c:pt idx="51">
                  <c:v>0.19500200272071247</c:v>
                </c:pt>
                <c:pt idx="52">
                  <c:v>0.19690450633590029</c:v>
                </c:pt>
                <c:pt idx="53">
                  <c:v>0.19878880291827422</c:v>
                </c:pt>
                <c:pt idx="54">
                  <c:v>0.20065540539934709</c:v>
                </c:pt>
                <c:pt idx="55">
                  <c:v>0.20250480306963634</c:v>
                </c:pt>
                <c:pt idx="56">
                  <c:v>0.20433746307656858</c:v>
                </c:pt>
                <c:pt idx="57">
                  <c:v>0.20615383180252531</c:v>
                </c:pt>
                <c:pt idx="58">
                  <c:v>0.207954336134546</c:v>
                </c:pt>
                <c:pt idx="59">
                  <c:v>0.20973938463592287</c:v>
                </c:pt>
                <c:pt idx="60">
                  <c:v>0.21150936862879494</c:v>
                </c:pt>
                <c:pt idx="61">
                  <c:v>0.2132646631958687</c:v>
                </c:pt>
                <c:pt idx="62">
                  <c:v>0.21500562810852927</c:v>
                </c:pt>
                <c:pt idx="63">
                  <c:v>0.21673260868784613</c:v>
                </c:pt>
                <c:pt idx="64">
                  <c:v>0.21844593660431152</c:v>
                </c:pt>
                <c:pt idx="65">
                  <c:v>0.2201459306215556</c:v>
                </c:pt>
                <c:pt idx="66">
                  <c:v>0.2218328972887624</c:v>
                </c:pt>
                <c:pt idx="67">
                  <c:v>0.22350713158604688</c:v>
                </c:pt>
                <c:pt idx="68">
                  <c:v>0.22516891752663895</c:v>
                </c:pt>
                <c:pt idx="69">
                  <c:v>0.22681852871935784</c:v>
                </c:pt>
                <c:pt idx="70">
                  <c:v>0.22845622889453038</c:v>
                </c:pt>
                <c:pt idx="71">
                  <c:v>0.23008227239621459</c:v>
                </c:pt>
                <c:pt idx="72">
                  <c:v>0.23169690464333303</c:v>
                </c:pt>
                <c:pt idx="73">
                  <c:v>0.23330036256207923</c:v>
                </c:pt>
                <c:pt idx="74">
                  <c:v>0.23489287499175765</c:v>
                </c:pt>
                <c:pt idx="75">
                  <c:v>0.23647466306602352</c:v>
                </c:pt>
                <c:pt idx="76">
                  <c:v>0.23804594057132167</c:v>
                </c:pt>
                <c:pt idx="77">
                  <c:v>0.23960691428416891</c:v>
                </c:pt>
                <c:pt idx="78">
                  <c:v>0.24115778428878659</c:v>
                </c:pt>
                <c:pt idx="79">
                  <c:v>0.2426987442764646</c:v>
                </c:pt>
                <c:pt idx="80">
                  <c:v>0.24422998182792513</c:v>
                </c:pt>
                <c:pt idx="81">
                  <c:v>0.24575167867985057</c:v>
                </c:pt>
                <c:pt idx="82">
                  <c:v>0.24726401097664885</c:v>
                </c:pt>
                <c:pt idx="83">
                  <c:v>0.24876714950844334</c:v>
                </c:pt>
                <c:pt idx="84">
                  <c:v>0.25026125993619558</c:v>
                </c:pt>
                <c:pt idx="85">
                  <c:v>0.25174650300480428</c:v>
                </c:pt>
                <c:pt idx="86">
                  <c:v>0.25322303474495322</c:v>
                </c:pt>
                <c:pt idx="87">
                  <c:v>0.2546910066644279</c:v>
                </c:pt>
                <c:pt idx="88">
                  <c:v>0.2561505659295632</c:v>
                </c:pt>
                <c:pt idx="89">
                  <c:v>0.25760185553743853</c:v>
                </c:pt>
                <c:pt idx="90">
                  <c:v>0.25904501447938966</c:v>
                </c:pt>
                <c:pt idx="91">
                  <c:v>0.26048017789636713</c:v>
                </c:pt>
                <c:pt idx="92">
                  <c:v>0.26190747722663227</c:v>
                </c:pt>
                <c:pt idx="93">
                  <c:v>0.26332704034624849</c:v>
                </c:pt>
                <c:pt idx="94">
                  <c:v>0.26473899170279136</c:v>
                </c:pt>
                <c:pt idx="95">
                  <c:v>0.26614345244267518</c:v>
                </c:pt>
                <c:pt idx="96">
                  <c:v>0.26754054053246273</c:v>
                </c:pt>
                <c:pt idx="97">
                  <c:v>0.26893037087450383</c:v>
                </c:pt>
                <c:pt idx="98">
                  <c:v>0.27031305541722184</c:v>
                </c:pt>
                <c:pt idx="99">
                  <c:v>0.27168870326034888</c:v>
                </c:pt>
                <c:pt idx="100">
                  <c:v>0.27305742075538947</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0.15560842445998202</c:v>
                </c:pt>
                <c:pt idx="14">
                  <c:v>0.16148249361674116</c:v>
                </c:pt>
                <c:pt idx="15">
                  <c:v>0.16715026092245194</c:v>
                </c:pt>
                <c:pt idx="16">
                  <c:v>0.17263204716450153</c:v>
                </c:pt>
                <c:pt idx="17">
                  <c:v>0.1779450412064624</c:v>
                </c:pt>
                <c:pt idx="18">
                  <c:v>0.1831039368002024</c:v>
                </c:pt>
                <c:pt idx="19">
                  <c:v>0.18812141200165239</c:v>
                </c:pt>
                <c:pt idx="20">
                  <c:v>0.19300849627738767</c:v>
                </c:pt>
                <c:pt idx="21">
                  <c:v>0.19777485587662877</c:v>
                </c:pt>
                <c:pt idx="22">
                  <c:v>0.20242901866773994</c:v>
                </c:pt>
                <c:pt idx="23">
                  <c:v>0.20697855343138116</c:v>
                </c:pt>
                <c:pt idx="24">
                  <c:v>0.21143021440255416</c:v>
                </c:pt>
                <c:pt idx="25">
                  <c:v>0.21579005895562692</c:v>
                </c:pt>
                <c:pt idx="26">
                  <c:v>0.22006354429081584</c:v>
                </c:pt>
                <c:pt idx="27">
                  <c:v>0.22425560752765758</c:v>
                </c:pt>
                <c:pt idx="28">
                  <c:v>0.22837073255862211</c:v>
                </c:pt>
                <c:pt idx="29">
                  <c:v>0.23241300624346437</c:v>
                </c:pt>
                <c:pt idx="30">
                  <c:v>0.23638616595073311</c:v>
                </c:pt>
                <c:pt idx="31">
                  <c:v>0.2402936400212258</c:v>
                </c:pt>
                <c:pt idx="32">
                  <c:v>0.24413858240026989</c:v>
                </c:pt>
                <c:pt idx="33">
                  <c:v>0.24792390243414669</c:v>
                </c:pt>
                <c:pt idx="34">
                  <c:v>0.25165229063121841</c:v>
                </c:pt>
                <c:pt idx="35">
                  <c:v>0.25532624103625173</c:v>
                </c:pt>
                <c:pt idx="36">
                  <c:v>0.2589480707467523</c:v>
                </c:pt>
                <c:pt idx="37">
                  <c:v>0.26251993700522624</c:v>
                </c:pt>
                <c:pt idx="38">
                  <c:v>0.26604385222551358</c:v>
                </c:pt>
                <c:pt idx="39">
                  <c:v>0.26952169725043251</c:v>
                </c:pt>
                <c:pt idx="40">
                  <c:v>0.27295523308871866</c:v>
                </c:pt>
                <c:pt idx="41">
                  <c:v>0.27634611133916764</c:v>
                </c:pt>
                <c:pt idx="42">
                  <c:v>0.27969588347711261</c:v>
                </c:pt>
                <c:pt idx="43">
                  <c:v>0.28300600915140561</c:v>
                </c:pt>
                <c:pt idx="44">
                  <c:v>0.28627786361779423</c:v>
                </c:pt>
                <c:pt idx="45">
                  <c:v>0.28951274441608149</c:v>
                </c:pt>
                <c:pt idx="46">
                  <c:v>0.29271187738302357</c:v>
                </c:pt>
                <c:pt idx="47">
                  <c:v>0.29587642207999126</c:v>
                </c:pt>
                <c:pt idx="48">
                  <c:v>0.29900747670354338</c:v>
                </c:pt>
                <c:pt idx="49">
                  <c:v>0.30210608253787768</c:v>
                </c:pt>
                <c:pt idx="50">
                  <c:v>0.30517322800033736</c:v>
                </c:pt>
                <c:pt idx="51">
                  <c:v>0.30820985232453035</c:v>
                </c:pt>
                <c:pt idx="52">
                  <c:v>0.31121684891996404</c:v>
                </c:pt>
                <c:pt idx="53">
                  <c:v>0.31419506844225714</c:v>
                </c:pt>
                <c:pt idx="54">
                  <c:v>0.3171453216038313</c:v>
                </c:pt>
                <c:pt idx="55">
                  <c:v>0.3200683817514009</c:v>
                </c:pt>
                <c:pt idx="56">
                  <c:v>0.32296498723348233</c:v>
                </c:pt>
                <c:pt idx="57">
                  <c:v>0.32583584357845946</c:v>
                </c:pt>
                <c:pt idx="58">
                  <c:v>0.32868162550141011</c:v>
                </c:pt>
                <c:pt idx="59">
                  <c:v>0.33150297875586598</c:v>
                </c:pt>
                <c:pt idx="60">
                  <c:v>0.33430052184490389</c:v>
                </c:pt>
                <c:pt idx="61">
                  <c:v>0.33707484760441259</c:v>
                </c:pt>
                <c:pt idx="62">
                  <c:v>0.33982652467001589</c:v>
                </c:pt>
                <c:pt idx="63">
                  <c:v>0.34255609883793314</c:v>
                </c:pt>
                <c:pt idx="64">
                  <c:v>0.34526409432900307</c:v>
                </c:pt>
                <c:pt idx="65">
                  <c:v>0.34795101496416081</c:v>
                </c:pt>
                <c:pt idx="66">
                  <c:v>0.35061734525883426</c:v>
                </c:pt>
                <c:pt idx="67">
                  <c:v>0.35326355144299204</c:v>
                </c:pt>
                <c:pt idx="68">
                  <c:v>0.3558900824129248</c:v>
                </c:pt>
                <c:pt idx="69">
                  <c:v>0.35849737062026171</c:v>
                </c:pt>
                <c:pt idx="70">
                  <c:v>0.36108583290320911</c:v>
                </c:pt>
                <c:pt idx="71">
                  <c:v>0.36365587126453375</c:v>
                </c:pt>
                <c:pt idx="72">
                  <c:v>0.3662078736004048</c:v>
                </c:pt>
                <c:pt idx="73">
                  <c:v>0.36874221438383342</c:v>
                </c:pt>
                <c:pt idx="74">
                  <c:v>0.37125925530612153</c:v>
                </c:pt>
                <c:pt idx="75">
                  <c:v>0.37375934587942927</c:v>
                </c:pt>
                <c:pt idx="76">
                  <c:v>0.37624282400330478</c:v>
                </c:pt>
                <c:pt idx="77">
                  <c:v>0.37871001649777458</c:v>
                </c:pt>
                <c:pt idx="78">
                  <c:v>0.38116123960537701</c:v>
                </c:pt>
                <c:pt idx="79">
                  <c:v>0.38359679946432101</c:v>
                </c:pt>
                <c:pt idx="80">
                  <c:v>0.38601699255477534</c:v>
                </c:pt>
                <c:pt idx="81">
                  <c:v>0.38842210612012851</c:v>
                </c:pt>
                <c:pt idx="82">
                  <c:v>0.39081241856491622</c:v>
                </c:pt>
                <c:pt idx="83">
                  <c:v>0.39318819983097431</c:v>
                </c:pt>
                <c:pt idx="84">
                  <c:v>0.39554971175325754</c:v>
                </c:pt>
                <c:pt idx="85">
                  <c:v>0.39789720839665116</c:v>
                </c:pt>
                <c:pt idx="86">
                  <c:v>0.40023093637500207</c:v>
                </c:pt>
                <c:pt idx="87">
                  <c:v>0.40255113515350305</c:v>
                </c:pt>
                <c:pt idx="88">
                  <c:v>0.40485803733547987</c:v>
                </c:pt>
                <c:pt idx="89">
                  <c:v>0.40715186893455335</c:v>
                </c:pt>
                <c:pt idx="90">
                  <c:v>0.40943284963307797</c:v>
                </c:pt>
                <c:pt idx="91">
                  <c:v>0.41170119302769276</c:v>
                </c:pt>
                <c:pt idx="92">
                  <c:v>0.41395710686276233</c:v>
                </c:pt>
                <c:pt idx="93">
                  <c:v>0.41620079325242926</c:v>
                </c:pt>
                <c:pt idx="94">
                  <c:v>0.41843244889194992</c:v>
                </c:pt>
                <c:pt idx="95">
                  <c:v>0.42065226525893951</c:v>
                </c:pt>
                <c:pt idx="96">
                  <c:v>0.42286042880510832</c:v>
                </c:pt>
                <c:pt idx="97">
                  <c:v>0.42505712113903354</c:v>
                </c:pt>
                <c:pt idx="98">
                  <c:v>0.42724251920047229</c:v>
                </c:pt>
                <c:pt idx="99">
                  <c:v>0.46925085358505719</c:v>
                </c:pt>
                <c:pt idx="100">
                  <c:v>0.47399076119702743</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0.15088168211988012</c:v>
                </c:pt>
                <c:pt idx="12">
                  <c:v>0.15759077730048873</c:v>
                </c:pt>
                <c:pt idx="13">
                  <c:v>0.16402568146793331</c:v>
                </c:pt>
                <c:pt idx="14">
                  <c:v>0.17021749402416783</c:v>
                </c:pt>
                <c:pt idx="15">
                  <c:v>0.17619184533546181</c:v>
                </c:pt>
                <c:pt idx="16">
                  <c:v>0.1819701553924791</c:v>
                </c:pt>
                <c:pt idx="17">
                  <c:v>0.18757054284831259</c:v>
                </c:pt>
                <c:pt idx="18">
                  <c:v>0.19300849627738761</c:v>
                </c:pt>
                <c:pt idx="19">
                  <c:v>0.19829737952405233</c:v>
                </c:pt>
                <c:pt idx="20">
                  <c:v>0.2034488186668916</c:v>
                </c:pt>
                <c:pt idx="21">
                  <c:v>0.20847300282722803</c:v>
                </c:pt>
                <c:pt idx="22">
                  <c:v>0.21337892116760057</c:v>
                </c:pt>
                <c:pt idx="23">
                  <c:v>0.21817455188334131</c:v>
                </c:pt>
                <c:pt idx="24">
                  <c:v>0.22286701456326927</c:v>
                </c:pt>
                <c:pt idx="25">
                  <c:v>0.22746269424059887</c:v>
                </c:pt>
                <c:pt idx="26">
                  <c:v>0.23196734330944055</c:v>
                </c:pt>
                <c:pt idx="27">
                  <c:v>0.23638616595073311</c:v>
                </c:pt>
                <c:pt idx="28">
                  <c:v>0.24072388860213942</c:v>
                </c:pt>
                <c:pt idx="29">
                  <c:v>0.24498481919209383</c:v>
                </c:pt>
                <c:pt idx="30">
                  <c:v>0.24917289725295283</c:v>
                </c:pt>
                <c:pt idx="31">
                  <c:v>0.25329173657322157</c:v>
                </c:pt>
                <c:pt idx="32">
                  <c:v>0.25734466170318354</c:v>
                </c:pt>
                <c:pt idx="33">
                  <c:v>0.26133473936308899</c:v>
                </c:pt>
                <c:pt idx="34">
                  <c:v>0.26526480559776744</c:v>
                </c:pt>
                <c:pt idx="35">
                  <c:v>0.26913748936123527</c:v>
                </c:pt>
                <c:pt idx="36">
                  <c:v>0.27295523308871861</c:v>
                </c:pt>
                <c:pt idx="37">
                  <c:v>0.27672031071347902</c:v>
                </c:pt>
                <c:pt idx="38">
                  <c:v>0.28043484350595971</c:v>
                </c:pt>
                <c:pt idx="39">
                  <c:v>0.28410081404856935</c:v>
                </c:pt>
                <c:pt idx="40">
                  <c:v>0.28772007860750259</c:v>
                </c:pt>
                <c:pt idx="41">
                  <c:v>0.29129437812075115</c:v>
                </c:pt>
                <c:pt idx="42">
                  <c:v>0.29482534798691046</c:v>
                </c:pt>
                <c:pt idx="43">
                  <c:v>0.29831452681096593</c:v>
                </c:pt>
                <c:pt idx="44">
                  <c:v>0.30176336423976025</c:v>
                </c:pt>
                <c:pt idx="45">
                  <c:v>0.30517322800033736</c:v>
                </c:pt>
                <c:pt idx="46">
                  <c:v>0.30854541023809379</c:v>
                </c:pt>
                <c:pt idx="47">
                  <c:v>0.31188113323803551</c:v>
                </c:pt>
                <c:pt idx="48">
                  <c:v>0.31518155460097746</c:v>
                </c:pt>
                <c:pt idx="49">
                  <c:v>0.31844777193683843</c:v>
                </c:pt>
                <c:pt idx="50">
                  <c:v>0.32168082712897939</c:v>
                </c:pt>
                <c:pt idx="51">
                  <c:v>0.32488171021655254</c:v>
                </c:pt>
                <c:pt idx="52">
                  <c:v>0.32805136293586662</c:v>
                </c:pt>
                <c:pt idx="53">
                  <c:v>0.33119068195667489</c:v>
                </c:pt>
                <c:pt idx="54">
                  <c:v>0.33430052184490389</c:v>
                </c:pt>
                <c:pt idx="55">
                  <c:v>0.3373816977795665</c:v>
                </c:pt>
                <c:pt idx="56">
                  <c:v>0.34043498804833566</c:v>
                </c:pt>
                <c:pt idx="57">
                  <c:v>0.34346113634342695</c:v>
                </c:pt>
                <c:pt idx="58">
                  <c:v>0.34646085387697961</c:v>
                </c:pt>
                <c:pt idx="59">
                  <c:v>0.34943482133298265</c:v>
                </c:pt>
                <c:pt idx="60">
                  <c:v>0.35238369067092362</c:v>
                </c:pt>
                <c:pt idx="61">
                  <c:v>0.35530808679469833</c:v>
                </c:pt>
                <c:pt idx="62">
                  <c:v>0.35820860909888325</c:v>
                </c:pt>
                <c:pt idx="63">
                  <c:v>0.36108583290320911</c:v>
                </c:pt>
                <c:pt idx="64">
                  <c:v>0.3639403107849582</c:v>
                </c:pt>
                <c:pt idx="65">
                  <c:v>0.36677257381802642</c:v>
                </c:pt>
                <c:pt idx="66">
                  <c:v>0.36958313272651838</c:v>
                </c:pt>
                <c:pt idx="67">
                  <c:v>0.37237247895997228</c:v>
                </c:pt>
                <c:pt idx="68">
                  <c:v>0.37514108569662519</c:v>
                </c:pt>
                <c:pt idx="69">
                  <c:v>0.37788940878051924</c:v>
                </c:pt>
                <c:pt idx="70">
                  <c:v>0.38061788759770349</c:v>
                </c:pt>
                <c:pt idx="71">
                  <c:v>0.38332694589630106</c:v>
                </c:pt>
                <c:pt idx="72">
                  <c:v>0.38601699255477523</c:v>
                </c:pt>
                <c:pt idx="73">
                  <c:v>0.38868842230233858</c:v>
                </c:pt>
                <c:pt idx="74">
                  <c:v>0.39134161639509896</c:v>
                </c:pt>
                <c:pt idx="75">
                  <c:v>0.3939769432512219</c:v>
                </c:pt>
                <c:pt idx="76">
                  <c:v>0.39659475904810465</c:v>
                </c:pt>
                <c:pt idx="77">
                  <c:v>0.39919540828430367</c:v>
                </c:pt>
                <c:pt idx="78">
                  <c:v>0.40177922430872354</c:v>
                </c:pt>
                <c:pt idx="79">
                  <c:v>0.40434652981937069</c:v>
                </c:pt>
                <c:pt idx="80">
                  <c:v>0.4068976373337832</c:v>
                </c:pt>
                <c:pt idx="81">
                  <c:v>0.40943284963307797</c:v>
                </c:pt>
                <c:pt idx="82">
                  <c:v>0.41195246018140286</c:v>
                </c:pt>
                <c:pt idx="83">
                  <c:v>0.41445675352243688</c:v>
                </c:pt>
                <c:pt idx="84">
                  <c:v>0.41694600565445605</c:v>
                </c:pt>
                <c:pt idx="85">
                  <c:v>0.41942048438536395</c:v>
                </c:pt>
                <c:pt idx="86">
                  <c:v>0.42188044966898036</c:v>
                </c:pt>
                <c:pt idx="87">
                  <c:v>0.42432615392378153</c:v>
                </c:pt>
                <c:pt idx="88">
                  <c:v>0.42675784233520114</c:v>
                </c:pt>
                <c:pt idx="89">
                  <c:v>0.42917575314251399</c:v>
                </c:pt>
                <c:pt idx="90">
                  <c:v>0.43158011791125384</c:v>
                </c:pt>
                <c:pt idx="91">
                  <c:v>0.43397116179204753</c:v>
                </c:pt>
                <c:pt idx="92">
                  <c:v>0.43634910376668262</c:v>
                </c:pt>
                <c:pt idx="93">
                  <c:v>0.4387141568821718</c:v>
                </c:pt>
                <c:pt idx="94">
                  <c:v>0.44106652847352007</c:v>
                </c:pt>
                <c:pt idx="95">
                  <c:v>0.44340642037585587</c:v>
                </c:pt>
                <c:pt idx="96">
                  <c:v>0.44573402912653853</c:v>
                </c:pt>
                <c:pt idx="97">
                  <c:v>0.44804954615781678</c:v>
                </c:pt>
                <c:pt idx="98">
                  <c:v>0.45035315798057118</c:v>
                </c:pt>
                <c:pt idx="99">
                  <c:v>0.45264504635964037</c:v>
                </c:pt>
                <c:pt idx="100">
                  <c:v>0.45492538848119773</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0.15560842445998202</c:v>
                </c:pt>
                <c:pt idx="14">
                  <c:v>0.16148249361674116</c:v>
                </c:pt>
                <c:pt idx="15">
                  <c:v>0.16715026092245194</c:v>
                </c:pt>
                <c:pt idx="16">
                  <c:v>0.17263204716450153</c:v>
                </c:pt>
                <c:pt idx="17">
                  <c:v>0.1779450412064624</c:v>
                </c:pt>
                <c:pt idx="18">
                  <c:v>0.1831039368002024</c:v>
                </c:pt>
                <c:pt idx="19">
                  <c:v>0.18812141200165239</c:v>
                </c:pt>
                <c:pt idx="20">
                  <c:v>0.19300849627738767</c:v>
                </c:pt>
                <c:pt idx="21">
                  <c:v>0.19777485587662877</c:v>
                </c:pt>
                <c:pt idx="22">
                  <c:v>0.20242901866773994</c:v>
                </c:pt>
                <c:pt idx="23">
                  <c:v>0.20697855343138116</c:v>
                </c:pt>
                <c:pt idx="24">
                  <c:v>0.21143021440255416</c:v>
                </c:pt>
                <c:pt idx="25">
                  <c:v>0.21579005895562692</c:v>
                </c:pt>
                <c:pt idx="26">
                  <c:v>0.22006354429081584</c:v>
                </c:pt>
                <c:pt idx="27">
                  <c:v>0.22425560752765758</c:v>
                </c:pt>
                <c:pt idx="28">
                  <c:v>0.22837073255862211</c:v>
                </c:pt>
                <c:pt idx="29">
                  <c:v>0.23241300624346437</c:v>
                </c:pt>
                <c:pt idx="30">
                  <c:v>0.23638616595073311</c:v>
                </c:pt>
                <c:pt idx="31">
                  <c:v>0.2402936400212258</c:v>
                </c:pt>
                <c:pt idx="32">
                  <c:v>0.24413858240026989</c:v>
                </c:pt>
                <c:pt idx="33">
                  <c:v>0.24792390243414669</c:v>
                </c:pt>
                <c:pt idx="34">
                  <c:v>0.25165229063121841</c:v>
                </c:pt>
                <c:pt idx="35">
                  <c:v>0.25532624103625173</c:v>
                </c:pt>
                <c:pt idx="36">
                  <c:v>0.2589480707467523</c:v>
                </c:pt>
                <c:pt idx="37">
                  <c:v>0.26251993700522624</c:v>
                </c:pt>
                <c:pt idx="38">
                  <c:v>0.26604385222551358</c:v>
                </c:pt>
                <c:pt idx="39">
                  <c:v>0.26952169725043251</c:v>
                </c:pt>
                <c:pt idx="40">
                  <c:v>0.27295523308871866</c:v>
                </c:pt>
                <c:pt idx="41">
                  <c:v>0.27634611133916764</c:v>
                </c:pt>
                <c:pt idx="42">
                  <c:v>0.27969588347711261</c:v>
                </c:pt>
                <c:pt idx="43">
                  <c:v>0.28300600915140561</c:v>
                </c:pt>
                <c:pt idx="44">
                  <c:v>0.28627786361779423</c:v>
                </c:pt>
                <c:pt idx="45">
                  <c:v>0.28951274441608149</c:v>
                </c:pt>
                <c:pt idx="46">
                  <c:v>0.29271187738302357</c:v>
                </c:pt>
                <c:pt idx="47">
                  <c:v>0.29587642207999126</c:v>
                </c:pt>
                <c:pt idx="48">
                  <c:v>0.29900747670354338</c:v>
                </c:pt>
                <c:pt idx="49">
                  <c:v>0.30210608253787768</c:v>
                </c:pt>
                <c:pt idx="50">
                  <c:v>0.30517322800033736</c:v>
                </c:pt>
                <c:pt idx="51">
                  <c:v>0.30820985232453035</c:v>
                </c:pt>
                <c:pt idx="52">
                  <c:v>0.31121684891996404</c:v>
                </c:pt>
                <c:pt idx="53">
                  <c:v>0.31419506844225714</c:v>
                </c:pt>
                <c:pt idx="54">
                  <c:v>0.3171453216038313</c:v>
                </c:pt>
                <c:pt idx="55">
                  <c:v>0.3200683817514009</c:v>
                </c:pt>
                <c:pt idx="56">
                  <c:v>0.32296498723348233</c:v>
                </c:pt>
                <c:pt idx="57">
                  <c:v>0.32583584357845946</c:v>
                </c:pt>
                <c:pt idx="58">
                  <c:v>0.32868162550141011</c:v>
                </c:pt>
                <c:pt idx="59">
                  <c:v>0.33150297875586598</c:v>
                </c:pt>
                <c:pt idx="60">
                  <c:v>0.33430052184490389</c:v>
                </c:pt>
                <c:pt idx="61">
                  <c:v>0.33707484760441259</c:v>
                </c:pt>
                <c:pt idx="62">
                  <c:v>0.33982652467001589</c:v>
                </c:pt>
                <c:pt idx="63">
                  <c:v>0.34255609883793314</c:v>
                </c:pt>
                <c:pt idx="64">
                  <c:v>0.34526409432900307</c:v>
                </c:pt>
                <c:pt idx="65">
                  <c:v>0.34795101496416081</c:v>
                </c:pt>
                <c:pt idx="66">
                  <c:v>0.35061734525883426</c:v>
                </c:pt>
                <c:pt idx="67">
                  <c:v>0.35326355144299204</c:v>
                </c:pt>
                <c:pt idx="68">
                  <c:v>0.3558900824129248</c:v>
                </c:pt>
                <c:pt idx="69">
                  <c:v>0.35849737062026171</c:v>
                </c:pt>
                <c:pt idx="70">
                  <c:v>0.36108583290320911</c:v>
                </c:pt>
                <c:pt idx="71">
                  <c:v>0.36365587126453375</c:v>
                </c:pt>
                <c:pt idx="72">
                  <c:v>0.3662078736004048</c:v>
                </c:pt>
                <c:pt idx="73">
                  <c:v>0.36874221438383342</c:v>
                </c:pt>
                <c:pt idx="74">
                  <c:v>0.37125925530612153</c:v>
                </c:pt>
                <c:pt idx="75">
                  <c:v>0.37375934587942927</c:v>
                </c:pt>
                <c:pt idx="76">
                  <c:v>0.37624282400330478</c:v>
                </c:pt>
                <c:pt idx="77">
                  <c:v>0.37871001649777458</c:v>
                </c:pt>
                <c:pt idx="78">
                  <c:v>0.38116123960537701</c:v>
                </c:pt>
                <c:pt idx="79">
                  <c:v>0.38359679946432101</c:v>
                </c:pt>
                <c:pt idx="80">
                  <c:v>0.38601699255477534</c:v>
                </c:pt>
                <c:pt idx="81">
                  <c:v>0.38842210612012851</c:v>
                </c:pt>
                <c:pt idx="82">
                  <c:v>0.39081241856491622</c:v>
                </c:pt>
                <c:pt idx="83">
                  <c:v>0.39318819983097431</c:v>
                </c:pt>
                <c:pt idx="84">
                  <c:v>0.39554971175325754</c:v>
                </c:pt>
                <c:pt idx="85">
                  <c:v>0.39789720839665116</c:v>
                </c:pt>
                <c:pt idx="86">
                  <c:v>0.40023093637500207</c:v>
                </c:pt>
                <c:pt idx="87">
                  <c:v>0.40255113515350305</c:v>
                </c:pt>
                <c:pt idx="88">
                  <c:v>0.40485803733547987</c:v>
                </c:pt>
                <c:pt idx="89">
                  <c:v>0.40715186893455335</c:v>
                </c:pt>
                <c:pt idx="90">
                  <c:v>0.40943284963307797</c:v>
                </c:pt>
                <c:pt idx="91">
                  <c:v>0.41170119302769276</c:v>
                </c:pt>
                <c:pt idx="92">
                  <c:v>0.41395710686276233</c:v>
                </c:pt>
                <c:pt idx="93">
                  <c:v>0.41620079325242926</c:v>
                </c:pt>
                <c:pt idx="94">
                  <c:v>0.41843244889194992</c:v>
                </c:pt>
                <c:pt idx="95">
                  <c:v>0.42065226525893951</c:v>
                </c:pt>
                <c:pt idx="96">
                  <c:v>0.42286042880510832</c:v>
                </c:pt>
                <c:pt idx="97">
                  <c:v>0.42505712113903354</c:v>
                </c:pt>
                <c:pt idx="98">
                  <c:v>0.42724251920047229</c:v>
                </c:pt>
                <c:pt idx="99">
                  <c:v>0.42941679542669131</c:v>
                </c:pt>
                <c:pt idx="100">
                  <c:v>0.43158011791125384</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1.203738949639988</c:v>
                </c:pt>
                <c:pt idx="14">
                  <c:v>1.207654995744494</c:v>
                </c:pt>
                <c:pt idx="15">
                  <c:v>1.2114335072816347</c:v>
                </c:pt>
                <c:pt idx="16">
                  <c:v>1.215088031443001</c:v>
                </c:pt>
                <c:pt idx="17">
                  <c:v>1.2186300274709749</c:v>
                </c:pt>
                <c:pt idx="18">
                  <c:v>1.222069291200135</c:v>
                </c:pt>
                <c:pt idx="19">
                  <c:v>1.2254142746677683</c:v>
                </c:pt>
                <c:pt idx="20">
                  <c:v>1.2286723308515917</c:v>
                </c:pt>
                <c:pt idx="21">
                  <c:v>1.2318499039177524</c:v>
                </c:pt>
                <c:pt idx="22">
                  <c:v>1.2349526791118266</c:v>
                </c:pt>
                <c:pt idx="23">
                  <c:v>1.2379857022875873</c:v>
                </c:pt>
                <c:pt idx="24">
                  <c:v>1.2409534762683694</c:v>
                </c:pt>
                <c:pt idx="25">
                  <c:v>1.2438600393037513</c:v>
                </c:pt>
                <c:pt idx="26">
                  <c:v>1.2467090295272105</c:v>
                </c:pt>
                <c:pt idx="27">
                  <c:v>1.2495037383517718</c:v>
                </c:pt>
                <c:pt idx="28">
                  <c:v>1.2522471550390815</c:v>
                </c:pt>
                <c:pt idx="29">
                  <c:v>1.2549420041623096</c:v>
                </c:pt>
                <c:pt idx="30">
                  <c:v>1.2575907773004886</c:v>
                </c:pt>
                <c:pt idx="31">
                  <c:v>1.2601957600141505</c:v>
                </c:pt>
                <c:pt idx="32">
                  <c:v>1.2627590549335133</c:v>
                </c:pt>
                <c:pt idx="33">
                  <c:v>1.2652826016227645</c:v>
                </c:pt>
                <c:pt idx="34">
                  <c:v>1.2677681937541456</c:v>
                </c:pt>
                <c:pt idx="35">
                  <c:v>1.2702174940241677</c:v>
                </c:pt>
                <c:pt idx="36">
                  <c:v>1.2726320471645014</c:v>
                </c:pt>
                <c:pt idx="37">
                  <c:v>1.2750132913368175</c:v>
                </c:pt>
                <c:pt idx="38">
                  <c:v>1.2773625681503424</c:v>
                </c:pt>
                <c:pt idx="39">
                  <c:v>1.2796811315002883</c:v>
                </c:pt>
                <c:pt idx="40">
                  <c:v>1.2819701553924792</c:v>
                </c:pt>
                <c:pt idx="41">
                  <c:v>1.2842307408927784</c:v>
                </c:pt>
                <c:pt idx="42">
                  <c:v>1.2864639223180752</c:v>
                </c:pt>
                <c:pt idx="43">
                  <c:v>1.2886706727676036</c:v>
                </c:pt>
                <c:pt idx="44">
                  <c:v>1.2908519090785295</c:v>
                </c:pt>
                <c:pt idx="45">
                  <c:v>1.2930084962773876</c:v>
                </c:pt>
                <c:pt idx="46">
                  <c:v>1.2951412515886824</c:v>
                </c:pt>
                <c:pt idx="47">
                  <c:v>1.2972509480533274</c:v>
                </c:pt>
                <c:pt idx="48">
                  <c:v>1.2993383178023623</c:v>
                </c:pt>
                <c:pt idx="49">
                  <c:v>1.3014040550252517</c:v>
                </c:pt>
                <c:pt idx="50">
                  <c:v>1.3034488186668916</c:v>
                </c:pt>
                <c:pt idx="51">
                  <c:v>1.3054732348830203</c:v>
                </c:pt>
                <c:pt idx="52">
                  <c:v>1.307477899279976</c:v>
                </c:pt>
                <c:pt idx="53">
                  <c:v>1.3094633789615047</c:v>
                </c:pt>
                <c:pt idx="54">
                  <c:v>1.3114302144025543</c:v>
                </c:pt>
                <c:pt idx="55">
                  <c:v>1.3133789211676006</c:v>
                </c:pt>
                <c:pt idx="56">
                  <c:v>1.3153099914889881</c:v>
                </c:pt>
                <c:pt idx="57">
                  <c:v>1.317223895718973</c:v>
                </c:pt>
                <c:pt idx="58">
                  <c:v>1.3191210836676066</c:v>
                </c:pt>
                <c:pt idx="59">
                  <c:v>1.3210019858372439</c:v>
                </c:pt>
                <c:pt idx="60">
                  <c:v>1.3228670145632693</c:v>
                </c:pt>
                <c:pt idx="61">
                  <c:v>1.3247165650696084</c:v>
                </c:pt>
                <c:pt idx="62">
                  <c:v>1.3265510164466772</c:v>
                </c:pt>
                <c:pt idx="63">
                  <c:v>1.328370732558622</c:v>
                </c:pt>
                <c:pt idx="64">
                  <c:v>1.330176062886002</c:v>
                </c:pt>
                <c:pt idx="65">
                  <c:v>1.3319673433094406</c:v>
                </c:pt>
                <c:pt idx="66">
                  <c:v>1.3337448968392227</c:v>
                </c:pt>
                <c:pt idx="67">
                  <c:v>1.335509034295328</c:v>
                </c:pt>
                <c:pt idx="68">
                  <c:v>1.3372600549419498</c:v>
                </c:pt>
                <c:pt idx="69">
                  <c:v>1.3389982470801745</c:v>
                </c:pt>
                <c:pt idx="70">
                  <c:v>1.3407238886021393</c:v>
                </c:pt>
                <c:pt idx="71">
                  <c:v>1.3424372475096891</c:v>
                </c:pt>
                <c:pt idx="72">
                  <c:v>1.3441385824002698</c:v>
                </c:pt>
                <c:pt idx="73">
                  <c:v>1.3458281429225556</c:v>
                </c:pt>
                <c:pt idx="74">
                  <c:v>1.3475061702040809</c:v>
                </c:pt>
                <c:pt idx="75">
                  <c:v>1.3491728972529529</c:v>
                </c:pt>
                <c:pt idx="76">
                  <c:v>1.3508285493355365</c:v>
                </c:pt>
                <c:pt idx="77">
                  <c:v>1.3524733443318497</c:v>
                </c:pt>
                <c:pt idx="78">
                  <c:v>1.3541074930702512</c:v>
                </c:pt>
                <c:pt idx="79">
                  <c:v>1.3557311996428807</c:v>
                </c:pt>
                <c:pt idx="80">
                  <c:v>1.3573446617031835</c:v>
                </c:pt>
                <c:pt idx="81">
                  <c:v>1.3589480707467523</c:v>
                </c:pt>
                <c:pt idx="82">
                  <c:v>1.3605416123766108</c:v>
                </c:pt>
                <c:pt idx="83">
                  <c:v>1.3621254665539828</c:v>
                </c:pt>
                <c:pt idx="84">
                  <c:v>1.3636998078355049</c:v>
                </c:pt>
                <c:pt idx="85">
                  <c:v>1.3652648055977674</c:v>
                </c:pt>
                <c:pt idx="86">
                  <c:v>1.3668206242500014</c:v>
                </c:pt>
                <c:pt idx="87">
                  <c:v>1.3683674234356686</c:v>
                </c:pt>
                <c:pt idx="88">
                  <c:v>1.3699053582236531</c:v>
                </c:pt>
                <c:pt idx="89">
                  <c:v>1.3714345792897022</c:v>
                </c:pt>
                <c:pt idx="90">
                  <c:v>1.3729552330887187</c:v>
                </c:pt>
                <c:pt idx="91">
                  <c:v>1.3744674620184618</c:v>
                </c:pt>
                <c:pt idx="92">
                  <c:v>1.375971404575175</c:v>
                </c:pt>
                <c:pt idx="93">
                  <c:v>1.3774671955016196</c:v>
                </c:pt>
                <c:pt idx="94">
                  <c:v>1.3789549659279667</c:v>
                </c:pt>
                <c:pt idx="95">
                  <c:v>1.3804348435059597</c:v>
                </c:pt>
                <c:pt idx="96">
                  <c:v>1.3819069525367389</c:v>
                </c:pt>
                <c:pt idx="97">
                  <c:v>1.3833714140926889</c:v>
                </c:pt>
                <c:pt idx="98">
                  <c:v>1.3848283461336481</c:v>
                </c:pt>
                <c:pt idx="99">
                  <c:v>1.4128339023900383</c:v>
                </c:pt>
                <c:pt idx="100">
                  <c:v>1.4159938407980182</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Single'!$AK$5:$AK$105</c:f>
              <c:numCache>
                <c:formatCode>0.000</c:formatCode>
                <c:ptCount val="101"/>
                <c:pt idx="0">
                  <c:v>1.0068571428571429</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1.2093504543119555</c:v>
                </c:pt>
                <c:pt idx="14">
                  <c:v>1.2134783293494451</c:v>
                </c:pt>
                <c:pt idx="15">
                  <c:v>1.2174612302236412</c:v>
                </c:pt>
                <c:pt idx="16">
                  <c:v>1.2213134369283194</c:v>
                </c:pt>
                <c:pt idx="17">
                  <c:v>1.2250470285655417</c:v>
                </c:pt>
                <c:pt idx="18">
                  <c:v>1.2286723308515917</c:v>
                </c:pt>
                <c:pt idx="19">
                  <c:v>1.2321982530160349</c:v>
                </c:pt>
                <c:pt idx="20">
                  <c:v>1.2356325457779276</c:v>
                </c:pt>
                <c:pt idx="21">
                  <c:v>1.2389820018848186</c:v>
                </c:pt>
                <c:pt idx="22">
                  <c:v>1.2422526141117336</c:v>
                </c:pt>
                <c:pt idx="23">
                  <c:v>1.2454497012555608</c:v>
                </c:pt>
                <c:pt idx="24">
                  <c:v>1.2485780097088461</c:v>
                </c:pt>
                <c:pt idx="25">
                  <c:v>1.2516417961603992</c:v>
                </c:pt>
                <c:pt idx="26">
                  <c:v>1.254644895539627</c:v>
                </c:pt>
                <c:pt idx="27">
                  <c:v>1.2575907773004886</c:v>
                </c:pt>
                <c:pt idx="28">
                  <c:v>1.2604825924014262</c:v>
                </c:pt>
                <c:pt idx="29">
                  <c:v>1.2633232127947291</c:v>
                </c:pt>
                <c:pt idx="30">
                  <c:v>1.2661152648353018</c:v>
                </c:pt>
                <c:pt idx="31">
                  <c:v>1.2688611577154809</c:v>
                </c:pt>
                <c:pt idx="32">
                  <c:v>1.2715631078021223</c:v>
                </c:pt>
                <c:pt idx="33">
                  <c:v>1.2742231595753926</c:v>
                </c:pt>
                <c:pt idx="34">
                  <c:v>1.2768432037318449</c:v>
                </c:pt>
                <c:pt idx="35">
                  <c:v>1.2794249929074901</c:v>
                </c:pt>
                <c:pt idx="36">
                  <c:v>1.2819701553924792</c:v>
                </c:pt>
                <c:pt idx="37">
                  <c:v>1.2844802071423194</c:v>
                </c:pt>
                <c:pt idx="38">
                  <c:v>1.2869565623373065</c:v>
                </c:pt>
                <c:pt idx="39">
                  <c:v>1.2894005426990462</c:v>
                </c:pt>
                <c:pt idx="40">
                  <c:v>1.2918133857383349</c:v>
                </c:pt>
                <c:pt idx="41">
                  <c:v>1.2941962520805008</c:v>
                </c:pt>
                <c:pt idx="42">
                  <c:v>1.2965502319912736</c:v>
                </c:pt>
                <c:pt idx="43">
                  <c:v>1.2988763512073107</c:v>
                </c:pt>
                <c:pt idx="44">
                  <c:v>1.30117557615984</c:v>
                </c:pt>
                <c:pt idx="45">
                  <c:v>1.3034488186668916</c:v>
                </c:pt>
                <c:pt idx="46">
                  <c:v>1.3056969401587291</c:v>
                </c:pt>
                <c:pt idx="47">
                  <c:v>1.3079207554920236</c:v>
                </c:pt>
                <c:pt idx="48">
                  <c:v>1.3101210364006517</c:v>
                </c:pt>
                <c:pt idx="49">
                  <c:v>1.3122985146245589</c:v>
                </c:pt>
                <c:pt idx="50">
                  <c:v>1.3144538847526528</c:v>
                </c:pt>
                <c:pt idx="51">
                  <c:v>1.316587806811035</c:v>
                </c:pt>
                <c:pt idx="52">
                  <c:v>1.318700908623911</c:v>
                </c:pt>
                <c:pt idx="53">
                  <c:v>1.3207937879711165</c:v>
                </c:pt>
                <c:pt idx="54">
                  <c:v>1.3228670145632693</c:v>
                </c:pt>
                <c:pt idx="55">
                  <c:v>1.3249211318530443</c:v>
                </c:pt>
                <c:pt idx="56">
                  <c:v>1.3269566586988903</c:v>
                </c:pt>
                <c:pt idx="57">
                  <c:v>1.328974090895618</c:v>
                </c:pt>
                <c:pt idx="58">
                  <c:v>1.330973902584653</c:v>
                </c:pt>
                <c:pt idx="59">
                  <c:v>1.3329565475553218</c:v>
                </c:pt>
                <c:pt idx="60">
                  <c:v>1.3349224604472825</c:v>
                </c:pt>
                <c:pt idx="61">
                  <c:v>1.3368720578631321</c:v>
                </c:pt>
                <c:pt idx="62">
                  <c:v>1.3388057393992554</c:v>
                </c:pt>
                <c:pt idx="63">
                  <c:v>1.3407238886021393</c:v>
                </c:pt>
                <c:pt idx="64">
                  <c:v>1.3426268738566387</c:v>
                </c:pt>
                <c:pt idx="65">
                  <c:v>1.3445150492120175</c:v>
                </c:pt>
                <c:pt idx="66">
                  <c:v>1.3463887551510123</c:v>
                </c:pt>
                <c:pt idx="67">
                  <c:v>1.3482483193066481</c:v>
                </c:pt>
                <c:pt idx="68">
                  <c:v>1.3500940571310833</c:v>
                </c:pt>
                <c:pt idx="69">
                  <c:v>1.351926272520346</c:v>
                </c:pt>
                <c:pt idx="70">
                  <c:v>1.353745258398469</c:v>
                </c:pt>
                <c:pt idx="71">
                  <c:v>1.3555512972642008</c:v>
                </c:pt>
                <c:pt idx="72">
                  <c:v>1.3573446617031835</c:v>
                </c:pt>
                <c:pt idx="73">
                  <c:v>1.3591256148682258</c:v>
                </c:pt>
                <c:pt idx="74">
                  <c:v>1.360894410930066</c:v>
                </c:pt>
                <c:pt idx="75">
                  <c:v>1.3626512955008145</c:v>
                </c:pt>
                <c:pt idx="76">
                  <c:v>1.3643965060320697</c:v>
                </c:pt>
                <c:pt idx="77">
                  <c:v>1.3661302721895359</c:v>
                </c:pt>
                <c:pt idx="78">
                  <c:v>1.3678528162058157</c:v>
                </c:pt>
                <c:pt idx="79">
                  <c:v>1.3695643532129138</c:v>
                </c:pt>
                <c:pt idx="80">
                  <c:v>1.3712650915558555</c:v>
                </c:pt>
                <c:pt idx="81">
                  <c:v>1.3729552330887187</c:v>
                </c:pt>
                <c:pt idx="82">
                  <c:v>1.3746349734542687</c:v>
                </c:pt>
                <c:pt idx="83">
                  <c:v>1.3763045023482912</c:v>
                </c:pt>
                <c:pt idx="84">
                  <c:v>1.3779640037696375</c:v>
                </c:pt>
                <c:pt idx="85">
                  <c:v>1.3796136562569092</c:v>
                </c:pt>
                <c:pt idx="86">
                  <c:v>1.3812536331126535</c:v>
                </c:pt>
                <c:pt idx="87">
                  <c:v>1.3828841026158543</c:v>
                </c:pt>
                <c:pt idx="88">
                  <c:v>1.3845052282234676</c:v>
                </c:pt>
                <c:pt idx="89">
                  <c:v>1.386117168761676</c:v>
                </c:pt>
                <c:pt idx="90">
                  <c:v>1.3877200786075026</c:v>
                </c:pt>
                <c:pt idx="91">
                  <c:v>1.3893141078613649</c:v>
                </c:pt>
                <c:pt idx="92">
                  <c:v>1.3908994025111219</c:v>
                </c:pt>
                <c:pt idx="93">
                  <c:v>1.3924761045881144</c:v>
                </c:pt>
                <c:pt idx="94">
                  <c:v>1.39404435231568</c:v>
                </c:pt>
                <c:pt idx="95">
                  <c:v>1.3956042802505706</c:v>
                </c:pt>
                <c:pt idx="96">
                  <c:v>1.3971560194176924</c:v>
                </c:pt>
                <c:pt idx="97">
                  <c:v>1.3986996974385444</c:v>
                </c:pt>
                <c:pt idx="98">
                  <c:v>1.4002354386537141</c:v>
                </c:pt>
                <c:pt idx="99">
                  <c:v>1.4017633642397602</c:v>
                </c:pt>
                <c:pt idx="100">
                  <c:v>1.4032835923207985</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1.203738949639988</c:v>
                </c:pt>
                <c:pt idx="14">
                  <c:v>1.207654995744494</c:v>
                </c:pt>
                <c:pt idx="15">
                  <c:v>1.2114335072816347</c:v>
                </c:pt>
                <c:pt idx="16">
                  <c:v>1.215088031443001</c:v>
                </c:pt>
                <c:pt idx="17">
                  <c:v>1.2186300274709749</c:v>
                </c:pt>
                <c:pt idx="18">
                  <c:v>1.222069291200135</c:v>
                </c:pt>
                <c:pt idx="19">
                  <c:v>1.2254142746677683</c:v>
                </c:pt>
                <c:pt idx="20">
                  <c:v>1.2286723308515917</c:v>
                </c:pt>
                <c:pt idx="21">
                  <c:v>1.2318499039177524</c:v>
                </c:pt>
                <c:pt idx="22">
                  <c:v>1.2349526791118266</c:v>
                </c:pt>
                <c:pt idx="23">
                  <c:v>1.2379857022875873</c:v>
                </c:pt>
                <c:pt idx="24">
                  <c:v>1.2409534762683694</c:v>
                </c:pt>
                <c:pt idx="25">
                  <c:v>1.2438600393037513</c:v>
                </c:pt>
                <c:pt idx="26">
                  <c:v>1.2467090295272105</c:v>
                </c:pt>
                <c:pt idx="27">
                  <c:v>1.2495037383517718</c:v>
                </c:pt>
                <c:pt idx="28">
                  <c:v>1.2522471550390815</c:v>
                </c:pt>
                <c:pt idx="29">
                  <c:v>1.2549420041623096</c:v>
                </c:pt>
                <c:pt idx="30">
                  <c:v>1.2575907773004886</c:v>
                </c:pt>
                <c:pt idx="31">
                  <c:v>1.2601957600141505</c:v>
                </c:pt>
                <c:pt idx="32">
                  <c:v>1.2627590549335133</c:v>
                </c:pt>
                <c:pt idx="33">
                  <c:v>1.2652826016227645</c:v>
                </c:pt>
                <c:pt idx="34">
                  <c:v>1.2677681937541456</c:v>
                </c:pt>
                <c:pt idx="35">
                  <c:v>1.2702174940241677</c:v>
                </c:pt>
                <c:pt idx="36">
                  <c:v>1.2726320471645014</c:v>
                </c:pt>
                <c:pt idx="37">
                  <c:v>1.2750132913368175</c:v>
                </c:pt>
                <c:pt idx="38">
                  <c:v>1.2773625681503424</c:v>
                </c:pt>
                <c:pt idx="39">
                  <c:v>1.2796811315002883</c:v>
                </c:pt>
                <c:pt idx="40">
                  <c:v>1.2819701553924792</c:v>
                </c:pt>
                <c:pt idx="41">
                  <c:v>1.2842307408927784</c:v>
                </c:pt>
                <c:pt idx="42">
                  <c:v>1.2864639223180752</c:v>
                </c:pt>
                <c:pt idx="43">
                  <c:v>1.2886706727676036</c:v>
                </c:pt>
                <c:pt idx="44">
                  <c:v>1.2908519090785295</c:v>
                </c:pt>
                <c:pt idx="45">
                  <c:v>1.2930084962773876</c:v>
                </c:pt>
                <c:pt idx="46">
                  <c:v>1.2951412515886824</c:v>
                </c:pt>
                <c:pt idx="47">
                  <c:v>1.2972509480533274</c:v>
                </c:pt>
                <c:pt idx="48">
                  <c:v>1.2993383178023623</c:v>
                </c:pt>
                <c:pt idx="49">
                  <c:v>1.3014040550252517</c:v>
                </c:pt>
                <c:pt idx="50">
                  <c:v>1.3034488186668916</c:v>
                </c:pt>
                <c:pt idx="51">
                  <c:v>1.3054732348830203</c:v>
                </c:pt>
                <c:pt idx="52">
                  <c:v>1.307477899279976</c:v>
                </c:pt>
                <c:pt idx="53">
                  <c:v>1.3094633789615047</c:v>
                </c:pt>
                <c:pt idx="54">
                  <c:v>1.3114302144025543</c:v>
                </c:pt>
                <c:pt idx="55">
                  <c:v>1.3133789211676006</c:v>
                </c:pt>
                <c:pt idx="56">
                  <c:v>1.3153099914889881</c:v>
                </c:pt>
                <c:pt idx="57">
                  <c:v>1.317223895718973</c:v>
                </c:pt>
                <c:pt idx="58">
                  <c:v>1.3191210836676066</c:v>
                </c:pt>
                <c:pt idx="59">
                  <c:v>1.3210019858372439</c:v>
                </c:pt>
                <c:pt idx="60">
                  <c:v>1.3228670145632693</c:v>
                </c:pt>
                <c:pt idx="61">
                  <c:v>1.3247165650696084</c:v>
                </c:pt>
                <c:pt idx="62">
                  <c:v>1.3265510164466772</c:v>
                </c:pt>
                <c:pt idx="63">
                  <c:v>1.328370732558622</c:v>
                </c:pt>
                <c:pt idx="64">
                  <c:v>1.330176062886002</c:v>
                </c:pt>
                <c:pt idx="65">
                  <c:v>1.3319673433094406</c:v>
                </c:pt>
                <c:pt idx="66">
                  <c:v>1.3337448968392227</c:v>
                </c:pt>
                <c:pt idx="67">
                  <c:v>1.335509034295328</c:v>
                </c:pt>
                <c:pt idx="68">
                  <c:v>1.3372600549419498</c:v>
                </c:pt>
                <c:pt idx="69">
                  <c:v>1.3389982470801745</c:v>
                </c:pt>
                <c:pt idx="70">
                  <c:v>1.3407238886021393</c:v>
                </c:pt>
                <c:pt idx="71">
                  <c:v>1.3424372475096891</c:v>
                </c:pt>
                <c:pt idx="72">
                  <c:v>1.3441385824002698</c:v>
                </c:pt>
                <c:pt idx="73">
                  <c:v>1.3458281429225556</c:v>
                </c:pt>
                <c:pt idx="74">
                  <c:v>1.3475061702040809</c:v>
                </c:pt>
                <c:pt idx="75">
                  <c:v>1.3491728972529529</c:v>
                </c:pt>
                <c:pt idx="76">
                  <c:v>1.3508285493355365</c:v>
                </c:pt>
                <c:pt idx="77">
                  <c:v>1.3524733443318497</c:v>
                </c:pt>
                <c:pt idx="78">
                  <c:v>1.3541074930702512</c:v>
                </c:pt>
                <c:pt idx="79">
                  <c:v>1.3557311996428807</c:v>
                </c:pt>
                <c:pt idx="80">
                  <c:v>1.3573446617031835</c:v>
                </c:pt>
                <c:pt idx="81">
                  <c:v>1.3589480707467523</c:v>
                </c:pt>
                <c:pt idx="82">
                  <c:v>1.3605416123766108</c:v>
                </c:pt>
                <c:pt idx="83">
                  <c:v>1.3621254665539828</c:v>
                </c:pt>
                <c:pt idx="84">
                  <c:v>1.3636998078355049</c:v>
                </c:pt>
                <c:pt idx="85">
                  <c:v>1.3652648055977674</c:v>
                </c:pt>
                <c:pt idx="86">
                  <c:v>1.3668206242500014</c:v>
                </c:pt>
                <c:pt idx="87">
                  <c:v>1.3683674234356686</c:v>
                </c:pt>
                <c:pt idx="88">
                  <c:v>1.3699053582236531</c:v>
                </c:pt>
                <c:pt idx="89">
                  <c:v>1.3714345792897022</c:v>
                </c:pt>
                <c:pt idx="90">
                  <c:v>1.3729552330887187</c:v>
                </c:pt>
                <c:pt idx="91">
                  <c:v>1.3744674620184618</c:v>
                </c:pt>
                <c:pt idx="92">
                  <c:v>1.375971404575175</c:v>
                </c:pt>
                <c:pt idx="93">
                  <c:v>1.3774671955016196</c:v>
                </c:pt>
                <c:pt idx="94">
                  <c:v>1.3789549659279667</c:v>
                </c:pt>
                <c:pt idx="95">
                  <c:v>1.3804348435059597</c:v>
                </c:pt>
                <c:pt idx="96">
                  <c:v>1.3819069525367389</c:v>
                </c:pt>
                <c:pt idx="97">
                  <c:v>1.3833714140926889</c:v>
                </c:pt>
                <c:pt idx="98">
                  <c:v>1.3848283461336481</c:v>
                </c:pt>
                <c:pt idx="99">
                  <c:v>1.3862778636177941</c:v>
                </c:pt>
                <c:pt idx="100">
                  <c:v>1.3877200786075026</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7.661144156275415E-5</c:v>
                </c:pt>
                <c:pt idx="1">
                  <c:v>41.085592374717464</c:v>
                </c:pt>
                <c:pt idx="2">
                  <c:v>55.012272803778075</c:v>
                </c:pt>
                <c:pt idx="3">
                  <c:v>62.019816150226958</c:v>
                </c:pt>
                <c:pt idx="4">
                  <c:v>66.238577726728778</c:v>
                </c:pt>
                <c:pt idx="5">
                  <c:v>69.05703000658589</c:v>
                </c:pt>
                <c:pt idx="6">
                  <c:v>71.073120882336397</c:v>
                </c:pt>
                <c:pt idx="7">
                  <c:v>72.58677704440008</c:v>
                </c:pt>
                <c:pt idx="8">
                  <c:v>73.765002157850574</c:v>
                </c:pt>
                <c:pt idx="9">
                  <c:v>74.708168832020021</c:v>
                </c:pt>
                <c:pt idx="10">
                  <c:v>75.480235209885834</c:v>
                </c:pt>
                <c:pt idx="11">
                  <c:v>76.0381739079276</c:v>
                </c:pt>
                <c:pt idx="12">
                  <c:v>75.95625721002699</c:v>
                </c:pt>
                <c:pt idx="13">
                  <c:v>76.616572504263232</c:v>
                </c:pt>
                <c:pt idx="14">
                  <c:v>77.257410589916446</c:v>
                </c:pt>
                <c:pt idx="15">
                  <c:v>77.825295986710827</c:v>
                </c:pt>
                <c:pt idx="16">
                  <c:v>78.332344807781624</c:v>
                </c:pt>
                <c:pt idx="17">
                  <c:v>78.788107060390146</c:v>
                </c:pt>
                <c:pt idx="18">
                  <c:v>79.200214918226678</c:v>
                </c:pt>
                <c:pt idx="19">
                  <c:v>79.574843378489263</c:v>
                </c:pt>
                <c:pt idx="20">
                  <c:v>79.917043852609609</c:v>
                </c:pt>
                <c:pt idx="21">
                  <c:v>80.230989861756967</c:v>
                </c:pt>
                <c:pt idx="22">
                  <c:v>80.520160771280459</c:v>
                </c:pt>
                <c:pt idx="23">
                  <c:v>80.787481094695337</c:v>
                </c:pt>
                <c:pt idx="24">
                  <c:v>81.035427441593015</c:v>
                </c:pt>
                <c:pt idx="25">
                  <c:v>81.266111568560447</c:v>
                </c:pt>
                <c:pt idx="26">
                  <c:v>81.481345552062777</c:v>
                </c:pt>
                <c:pt idx="27">
                  <c:v>81.682693427284534</c:v>
                </c:pt>
                <c:pt idx="28">
                  <c:v>81.871512469288476</c:v>
                </c:pt>
                <c:pt idx="29">
                  <c:v>82.04898646721746</c:v>
                </c:pt>
                <c:pt idx="30">
                  <c:v>82.216152750740264</c:v>
                </c:pt>
                <c:pt idx="31">
                  <c:v>82.37392429896002</c:v>
                </c:pt>
                <c:pt idx="32">
                  <c:v>82.523107947360401</c:v>
                </c:pt>
                <c:pt idx="33">
                  <c:v>82.664419475144456</c:v>
                </c:pt>
                <c:pt idx="34">
                  <c:v>82.798496180743143</c:v>
                </c:pt>
                <c:pt idx="35">
                  <c:v>82.925907421383556</c:v>
                </c:pt>
                <c:pt idx="36">
                  <c:v>83.047163492104929</c:v>
                </c:pt>
                <c:pt idx="37">
                  <c:v>83.162723142402669</c:v>
                </c:pt>
                <c:pt idx="38">
                  <c:v>83.272999968912757</c:v>
                </c:pt>
                <c:pt idx="39">
                  <c:v>83.378367875945159</c:v>
                </c:pt>
                <c:pt idx="40">
                  <c:v>83.479165759090094</c:v>
                </c:pt>
                <c:pt idx="41">
                  <c:v>83.575701538212485</c:v>
                </c:pt>
                <c:pt idx="42">
                  <c:v>83.6682556431699</c:v>
                </c:pt>
                <c:pt idx="43">
                  <c:v>83.757084037212991</c:v>
                </c:pt>
                <c:pt idx="44">
                  <c:v>83.842420848253624</c:v>
                </c:pt>
                <c:pt idx="45">
                  <c:v>83.924480666243966</c:v>
                </c:pt>
                <c:pt idx="46">
                  <c:v>84.003460555209671</c:v>
                </c:pt>
                <c:pt idx="47">
                  <c:v>84.079541820563293</c:v>
                </c:pt>
                <c:pt idx="48">
                  <c:v>84.152891565832064</c:v>
                </c:pt>
                <c:pt idx="49">
                  <c:v>84.223664067589098</c:v>
                </c:pt>
                <c:pt idx="50">
                  <c:v>84.292001992955321</c:v>
                </c:pt>
                <c:pt idx="51">
                  <c:v>84.358037480370527</c:v>
                </c:pt>
                <c:pt idx="52">
                  <c:v>84.421893101271792</c:v>
                </c:pt>
                <c:pt idx="53">
                  <c:v>84.483682717759606</c:v>
                </c:pt>
                <c:pt idx="54">
                  <c:v>84.543512249183408</c:v>
                </c:pt>
                <c:pt idx="55">
                  <c:v>84.601480358769209</c:v>
                </c:pt>
                <c:pt idx="56">
                  <c:v>84.657679069883159</c:v>
                </c:pt>
                <c:pt idx="57">
                  <c:v>84.712194320228278</c:v>
                </c:pt>
                <c:pt idx="58">
                  <c:v>84.765106461169879</c:v>
                </c:pt>
                <c:pt idx="59">
                  <c:v>84.816490708445272</c:v>
                </c:pt>
                <c:pt idx="60">
                  <c:v>84.866417549709269</c:v>
                </c:pt>
                <c:pt idx="61">
                  <c:v>84.914953113678436</c:v>
                </c:pt>
                <c:pt idx="62">
                  <c:v>84.96215950504353</c:v>
                </c:pt>
                <c:pt idx="63">
                  <c:v>85.008095108809911</c:v>
                </c:pt>
                <c:pt idx="64">
                  <c:v>85.052814867283431</c:v>
                </c:pt>
                <c:pt idx="65">
                  <c:v>85.096370532537634</c:v>
                </c:pt>
                <c:pt idx="66">
                  <c:v>85.138810896866104</c:v>
                </c:pt>
                <c:pt idx="67">
                  <c:v>85.18018200343495</c:v>
                </c:pt>
                <c:pt idx="68">
                  <c:v>85.220527339099135</c:v>
                </c:pt>
                <c:pt idx="69">
                  <c:v>85.259888011125952</c:v>
                </c:pt>
                <c:pt idx="70">
                  <c:v>85.298302909376673</c:v>
                </c:pt>
                <c:pt idx="71">
                  <c:v>85.335808855328281</c:v>
                </c:pt>
                <c:pt idx="72">
                  <c:v>85.372440739169036</c:v>
                </c:pt>
                <c:pt idx="73">
                  <c:v>85.408231646070689</c:v>
                </c:pt>
                <c:pt idx="74">
                  <c:v>85.44321297262465</c:v>
                </c:pt>
                <c:pt idx="75">
                  <c:v>85.477414534328148</c:v>
                </c:pt>
                <c:pt idx="76">
                  <c:v>85.510864664915317</c:v>
                </c:pt>
                <c:pt idx="77">
                  <c:v>85.543590308249136</c:v>
                </c:pt>
                <c:pt idx="78">
                  <c:v>85.575617103418296</c:v>
                </c:pt>
                <c:pt idx="79">
                  <c:v>85.606969463620302</c:v>
                </c:pt>
                <c:pt idx="80">
                  <c:v>85.637670649356039</c:v>
                </c:pt>
                <c:pt idx="81">
                  <c:v>85.667742836410127</c:v>
                </c:pt>
                <c:pt idx="82">
                  <c:v>85.697207179047183</c:v>
                </c:pt>
                <c:pt idx="83">
                  <c:v>85.726083868813902</c:v>
                </c:pt>
                <c:pt idx="84">
                  <c:v>85.754392189300276</c:v>
                </c:pt>
                <c:pt idx="85">
                  <c:v>85.782150567181986</c:v>
                </c:pt>
                <c:pt idx="86">
                  <c:v>85.809376619836044</c:v>
                </c:pt>
                <c:pt idx="87">
                  <c:v>85.836087199796523</c:v>
                </c:pt>
                <c:pt idx="88">
                  <c:v>85.862298436293003</c:v>
                </c:pt>
                <c:pt idx="89">
                  <c:v>85.888025774093805</c:v>
                </c:pt>
                <c:pt idx="90">
                  <c:v>85.913284009856483</c:v>
                </c:pt>
                <c:pt idx="91">
                  <c:v>85.938087326171214</c:v>
                </c:pt>
                <c:pt idx="92">
                  <c:v>85.962449323466444</c:v>
                </c:pt>
                <c:pt idx="93">
                  <c:v>85.986383049932925</c:v>
                </c:pt>
                <c:pt idx="94">
                  <c:v>86.009901029608315</c:v>
                </c:pt>
                <c:pt idx="95">
                  <c:v>86.033015288753958</c:v>
                </c:pt>
                <c:pt idx="96">
                  <c:v>86.055737380643933</c:v>
                </c:pt>
                <c:pt idx="97">
                  <c:v>86.07807840887736</c:v>
                </c:pt>
                <c:pt idx="98">
                  <c:v>86.100049049316112</c:v>
                </c:pt>
                <c:pt idx="99">
                  <c:v>86.121659570741841</c:v>
                </c:pt>
                <c:pt idx="100">
                  <c:v>86.142919854319018</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5.6976831820000013</c:v>
                </c:pt>
                <c:pt idx="1">
                  <c:v>6.0339701333333347</c:v>
                </c:pt>
                <c:pt idx="2">
                  <c:v>6.3379402666666653</c:v>
                </c:pt>
                <c:pt idx="3">
                  <c:v>6.6419104000000022</c:v>
                </c:pt>
                <c:pt idx="4">
                  <c:v>6.9458805333333329</c:v>
                </c:pt>
                <c:pt idx="5">
                  <c:v>7.249850666666668</c:v>
                </c:pt>
                <c:pt idx="6">
                  <c:v>7.5538207999999996</c:v>
                </c:pt>
                <c:pt idx="7">
                  <c:v>7.8577909333333356</c:v>
                </c:pt>
                <c:pt idx="8">
                  <c:v>8.1617610666666671</c:v>
                </c:pt>
                <c:pt idx="9">
                  <c:v>8.4657312000000005</c:v>
                </c:pt>
                <c:pt idx="10">
                  <c:v>8.7697013333333338</c:v>
                </c:pt>
                <c:pt idx="11">
                  <c:v>9.1260053520170299</c:v>
                </c:pt>
                <c:pt idx="12">
                  <c:v>9.822782028435082</c:v>
                </c:pt>
                <c:pt idx="13">
                  <c:v>10.585173160225105</c:v>
                </c:pt>
                <c:pt idx="14">
                  <c:v>11.349313187883329</c:v>
                </c:pt>
                <c:pt idx="15">
                  <c:v>12.108180878229271</c:v>
                </c:pt>
                <c:pt idx="16">
                  <c:v>12.86195521668216</c:v>
                </c:pt>
                <c:pt idx="17">
                  <c:v>13.610798104614974</c:v>
                </c:pt>
                <c:pt idx="18">
                  <c:v>14.354856916438012</c:v>
                </c:pt>
                <c:pt idx="19">
                  <c:v>15.094266550784543</c:v>
                </c:pt>
                <c:pt idx="20">
                  <c:v>15.829151097670389</c:v>
                </c:pt>
                <c:pt idx="21">
                  <c:v>16.559625209421039</c:v>
                </c:pt>
                <c:pt idx="22">
                  <c:v>17.285795239803598</c:v>
                </c:pt>
                <c:pt idx="23">
                  <c:v>18.007760199451937</c:v>
                </c:pt>
                <c:pt idx="24">
                  <c:v>18.725612564013073</c:v>
                </c:pt>
                <c:pt idx="25">
                  <c:v>19.439438962983111</c:v>
                </c:pt>
                <c:pt idx="26">
                  <c:v>20.149320770970817</c:v>
                </c:pt>
                <c:pt idx="27">
                  <c:v>20.855334618472643</c:v>
                </c:pt>
                <c:pt idx="28">
                  <c:v>21.557552835723239</c:v>
                </c:pt>
                <c:pt idx="29">
                  <c:v>22.25604384049171</c:v>
                </c:pt>
                <c:pt idx="30">
                  <c:v>22.95087247861078</c:v>
                </c:pt>
                <c:pt idx="31">
                  <c:v>23.642100324398239</c:v>
                </c:pt>
                <c:pt idx="32">
                  <c:v>24.329785946848151</c:v>
                </c:pt>
                <c:pt idx="33">
                  <c:v>25.013985146449091</c:v>
                </c:pt>
                <c:pt idx="34">
                  <c:v>25.69475116667018</c:v>
                </c:pt>
                <c:pt idx="35">
                  <c:v>26.37213488349607</c:v>
                </c:pt>
                <c:pt idx="36">
                  <c:v>27.046184975856491</c:v>
                </c:pt>
                <c:pt idx="37">
                  <c:v>27.716948079357394</c:v>
                </c:pt>
                <c:pt idx="38">
                  <c:v>28.384468925360483</c:v>
                </c:pt>
                <c:pt idx="39">
                  <c:v>29.048790467158845</c:v>
                </c:pt>
                <c:pt idx="40">
                  <c:v>29.709953994748805</c:v>
                </c:pt>
                <c:pt idx="41">
                  <c:v>30.367999239489617</c:v>
                </c:pt>
                <c:pt idx="42">
                  <c:v>31.022964469768834</c:v>
                </c:pt>
                <c:pt idx="43">
                  <c:v>31.67488657864314</c:v>
                </c:pt>
                <c:pt idx="44">
                  <c:v>32.323801164300221</c:v>
                </c:pt>
                <c:pt idx="45">
                  <c:v>32.969742604080288</c:v>
                </c:pt>
                <c:pt idx="46">
                  <c:v>33.612744122705486</c:v>
                </c:pt>
                <c:pt idx="47">
                  <c:v>34.25283785528697</c:v>
                </c:pt>
                <c:pt idx="48">
                  <c:v>34.890054905612971</c:v>
                </c:pt>
                <c:pt idx="49">
                  <c:v>35.52442540016245</c:v>
                </c:pt>
                <c:pt idx="50">
                  <c:v>36.155978538239331</c:v>
                </c:pt>
                <c:pt idx="51">
                  <c:v>36.784742638578294</c:v>
                </c:pt>
                <c:pt idx="52">
                  <c:v>37.410745182735234</c:v>
                </c:pt>
                <c:pt idx="53">
                  <c:v>38.034012855541867</c:v>
                </c:pt>
                <c:pt idx="54">
                  <c:v>38.65457158287542</c:v>
                </c:pt>
                <c:pt idx="55">
                  <c:v>39.272446566967886</c:v>
                </c:pt>
                <c:pt idx="56">
                  <c:v>39.887662319457483</c:v>
                </c:pt>
                <c:pt idx="57">
                  <c:v>40.500242692364374</c:v>
                </c:pt>
                <c:pt idx="58">
                  <c:v>41.110210907155484</c:v>
                </c:pt>
                <c:pt idx="59">
                  <c:v>41.71758958204726</c:v>
                </c:pt>
                <c:pt idx="60">
                  <c:v>42.322400757681507</c:v>
                </c:pt>
                <c:pt idx="61">
                  <c:v>42.924665921296665</c:v>
                </c:pt>
                <c:pt idx="62">
                  <c:v>43.524406029506224</c:v>
                </c:pt>
                <c:pt idx="63">
                  <c:v>44.121641529785755</c:v>
                </c:pt>
                <c:pt idx="64">
                  <c:v>44.716392380761107</c:v>
                </c:pt>
                <c:pt idx="65">
                  <c:v>45.308678071382417</c:v>
                </c:pt>
                <c:pt idx="66">
                  <c:v>45.898517639061645</c:v>
                </c:pt>
                <c:pt idx="67">
                  <c:v>46.485929686844194</c:v>
                </c:pt>
                <c:pt idx="68">
                  <c:v>47.070932399680089</c:v>
                </c:pt>
                <c:pt idx="69">
                  <c:v>47.653543559854292</c:v>
                </c:pt>
                <c:pt idx="70">
                  <c:v>48.233780561631434</c:v>
                </c:pt>
                <c:pt idx="71">
                  <c:v>48.811660425165421</c:v>
                </c:pt>
                <c:pt idx="72">
                  <c:v>49.387199809720904</c:v>
                </c:pt>
                <c:pt idx="73">
                  <c:v>49.960415026249571</c:v>
                </c:pt>
                <c:pt idx="74">
                  <c:v>50.531322049361407</c:v>
                </c:pt>
                <c:pt idx="75">
                  <c:v>51.099936528727646</c:v>
                </c:pt>
                <c:pt idx="76">
                  <c:v>51.666273799949643</c:v>
                </c:pt>
                <c:pt idx="77">
                  <c:v>52.230348894925747</c:v>
                </c:pt>
                <c:pt idx="78">
                  <c:v>52.792176551744951</c:v>
                </c:pt>
                <c:pt idx="79">
                  <c:v>53.351771224135419</c:v>
                </c:pt>
                <c:pt idx="80">
                  <c:v>53.909147090492866</c:v>
                </c:pt>
                <c:pt idx="81">
                  <c:v>54.464318062512618</c:v>
                </c:pt>
                <c:pt idx="82">
                  <c:v>55.017297793447625</c:v>
                </c:pt>
                <c:pt idx="83">
                  <c:v>55.568099686012744</c:v>
                </c:pt>
                <c:pt idx="84">
                  <c:v>56.116736899954596</c:v>
                </c:pt>
                <c:pt idx="85">
                  <c:v>56.663222359305223</c:v>
                </c:pt>
                <c:pt idx="86">
                  <c:v>57.207568759336027</c:v>
                </c:pt>
                <c:pt idx="87">
                  <c:v>57.749788573227747</c:v>
                </c:pt>
                <c:pt idx="88">
                  <c:v>58.289894058471532</c:v>
                </c:pt>
                <c:pt idx="89">
                  <c:v>58.827897263014464</c:v>
                </c:pt>
                <c:pt idx="90">
                  <c:v>59.3638100311627</c:v>
                </c:pt>
                <c:pt idx="91">
                  <c:v>59.897644009254634</c:v>
                </c:pt>
                <c:pt idx="92">
                  <c:v>60.429410651114779</c:v>
                </c:pt>
                <c:pt idx="93">
                  <c:v>60.959121223300109</c:v>
                </c:pt>
                <c:pt idx="94">
                  <c:v>61.486786810147898</c:v>
                </c:pt>
                <c:pt idx="95">
                  <c:v>62.01241831863549</c:v>
                </c:pt>
                <c:pt idx="96">
                  <c:v>62.536026483060311</c:v>
                </c:pt>
                <c:pt idx="97">
                  <c:v>63.05762186954879</c:v>
                </c:pt>
                <c:pt idx="98">
                  <c:v>63.577214880402302</c:v>
                </c:pt>
                <c:pt idx="99">
                  <c:v>64.094815758287297</c:v>
                </c:pt>
                <c:pt idx="100">
                  <c:v>64.610434590277094</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5.3415797056451506</c:v>
                </c:pt>
                <c:pt idx="1">
                  <c:v>6.744178059087691</c:v>
                </c:pt>
                <c:pt idx="2">
                  <c:v>9.1383876990455217</c:v>
                </c:pt>
                <c:pt idx="3">
                  <c:v>11.532628920498361</c:v>
                </c:pt>
                <c:pt idx="4">
                  <c:v>13.926901724071083</c:v>
                </c:pt>
                <c:pt idx="5">
                  <c:v>16.321206110388591</c:v>
                </c:pt>
                <c:pt idx="6">
                  <c:v>18.715542080075792</c:v>
                </c:pt>
                <c:pt idx="7">
                  <c:v>21.109909633757624</c:v>
                </c:pt>
                <c:pt idx="8">
                  <c:v>23.504308772059026</c:v>
                </c:pt>
                <c:pt idx="9">
                  <c:v>25.898739495604964</c:v>
                </c:pt>
                <c:pt idx="10">
                  <c:v>28.293201805020431</c:v>
                </c:pt>
                <c:pt idx="11">
                  <c:v>30.738255381551919</c:v>
                </c:pt>
                <c:pt idx="12">
                  <c:v>33.560506958501485</c:v>
                </c:pt>
                <c:pt idx="13">
                  <c:v>34.169148920038722</c:v>
                </c:pt>
                <c:pt idx="14">
                  <c:v>34.573499975484538</c:v>
                </c:pt>
                <c:pt idx="15">
                  <c:v>34.969078305264944</c:v>
                </c:pt>
                <c:pt idx="16">
                  <c:v>35.356927196984664</c:v>
                </c:pt>
                <c:pt idx="17">
                  <c:v>35.737923688187777</c:v>
                </c:pt>
                <c:pt idx="18">
                  <c:v>36.112812848407231</c:v>
                </c:pt>
                <c:pt idx="19">
                  <c:v>36.482233522121668</c:v>
                </c:pt>
                <c:pt idx="20">
                  <c:v>36.846737990726659</c:v>
                </c:pt>
                <c:pt idx="21">
                  <c:v>37.206807217729349</c:v>
                </c:pt>
                <c:pt idx="22">
                  <c:v>37.562862829193953</c:v>
                </c:pt>
                <c:pt idx="23">
                  <c:v>37.915276642846827</c:v>
                </c:pt>
                <c:pt idx="24">
                  <c:v>38.264378330435136</c:v>
                </c:pt>
                <c:pt idx="25">
                  <c:v>38.610461640255203</c:v>
                </c:pt>
                <c:pt idx="26">
                  <c:v>38.953789496167943</c:v>
                </c:pt>
                <c:pt idx="27">
                  <c:v>39.294598210584233</c:v>
                </c:pt>
                <c:pt idx="28">
                  <c:v>39.633100991881783</c:v>
                </c:pt>
                <c:pt idx="29">
                  <c:v>39.969490884911309</c:v>
                </c:pt>
                <c:pt idx="30">
                  <c:v>40.303943252224236</c:v>
                </c:pt>
                <c:pt idx="31">
                  <c:v>40.636617880362309</c:v>
                </c:pt>
                <c:pt idx="32">
                  <c:v>40.96766077787904</c:v>
                </c:pt>
                <c:pt idx="33">
                  <c:v>41.297205718225257</c:v>
                </c:pt>
                <c:pt idx="34">
                  <c:v>41.625375570164842</c:v>
                </c:pt>
                <c:pt idx="35">
                  <c:v>41.952283450225842</c:v>
                </c:pt>
                <c:pt idx="36">
                  <c:v>42.278033725277908</c:v>
                </c:pt>
                <c:pt idx="37">
                  <c:v>42.602722888248429</c:v>
                </c:pt>
                <c:pt idx="38">
                  <c:v>42.926440325940298</c:v>
                </c:pt>
                <c:pt idx="39">
                  <c:v>43.249268994662799</c:v>
                </c:pt>
                <c:pt idx="40">
                  <c:v>43.571286016763132</c:v>
                </c:pt>
                <c:pt idx="41">
                  <c:v>43.892563209011797</c:v>
                </c:pt>
                <c:pt idx="42">
                  <c:v>44.213167552053967</c:v>
                </c:pt>
                <c:pt idx="43">
                  <c:v>44.533161608707417</c:v>
                </c:pt>
                <c:pt idx="44">
                  <c:v>44.85260389770675</c:v>
                </c:pt>
                <c:pt idx="45">
                  <c:v>45.1715492285145</c:v>
                </c:pt>
                <c:pt idx="46">
                  <c:v>45.49004900200395</c:v>
                </c:pt>
                <c:pt idx="47">
                  <c:v>45.808151481135702</c:v>
                </c:pt>
                <c:pt idx="48">
                  <c:v>46.125902035177262</c:v>
                </c:pt>
                <c:pt idx="49">
                  <c:v>46.443343360531138</c:v>
                </c:pt>
                <c:pt idx="50">
                  <c:v>46.760515680827815</c:v>
                </c:pt>
                <c:pt idx="51">
                  <c:v>47.077456928592383</c:v>
                </c:pt>
                <c:pt idx="52">
                  <c:v>47.394202910497185</c:v>
                </c:pt>
                <c:pt idx="53">
                  <c:v>47.710787457959839</c:v>
                </c:pt>
                <c:pt idx="54">
                  <c:v>48.02724256462772</c:v>
                </c:pt>
                <c:pt idx="55">
                  <c:v>48.34359851210408</c:v>
                </c:pt>
                <c:pt idx="56">
                  <c:v>48.659883985108614</c:v>
                </c:pt>
                <c:pt idx="57">
                  <c:v>48.976126177125927</c:v>
                </c:pt>
                <c:pt idx="58">
                  <c:v>49.292350887474427</c:v>
                </c:pt>
                <c:pt idx="59">
                  <c:v>49.608582610621902</c:v>
                </c:pt>
                <c:pt idx="60">
                  <c:v>49.924844618483199</c:v>
                </c:pt>
                <c:pt idx="61">
                  <c:v>50.241159036353771</c:v>
                </c:pt>
                <c:pt idx="62">
                  <c:v>50.557546913063497</c:v>
                </c:pt>
                <c:pt idx="63">
                  <c:v>50.874028285872512</c:v>
                </c:pt>
                <c:pt idx="64">
                  <c:v>51.190622240576786</c:v>
                </c:pt>
                <c:pt idx="65">
                  <c:v>51.507346967242931</c:v>
                </c:pt>
                <c:pt idx="66">
                  <c:v>51.824219811949334</c:v>
                </c:pt>
                <c:pt idx="67">
                  <c:v>52.141257324873159</c:v>
                </c:pt>
                <c:pt idx="68">
                  <c:v>52.458475305029282</c:v>
                </c:pt>
                <c:pt idx="69">
                  <c:v>52.775888841937793</c:v>
                </c:pt>
                <c:pt idx="70">
                  <c:v>53.093512354470029</c:v>
                </c:pt>
                <c:pt idx="71">
                  <c:v>53.411359627099941</c:v>
                </c:pt>
                <c:pt idx="72">
                  <c:v>53.729443843766006</c:v>
                </c:pt>
                <c:pt idx="73">
                  <c:v>54.047777619530841</c:v>
                </c:pt>
                <c:pt idx="74">
                  <c:v>54.366373030207939</c:v>
                </c:pt>
                <c:pt idx="75">
                  <c:v>54.685241640110604</c:v>
                </c:pt>
                <c:pt idx="76">
                  <c:v>55.004394528063912</c:v>
                </c:pt>
                <c:pt idx="77">
                  <c:v>55.323842311808761</c:v>
                </c:pt>
                <c:pt idx="78">
                  <c:v>55.643595170915667</c:v>
                </c:pt>
                <c:pt idx="79">
                  <c:v>55.963662868316206</c:v>
                </c:pt>
                <c:pt idx="80">
                  <c:v>56.284054770550782</c:v>
                </c:pt>
                <c:pt idx="81">
                  <c:v>56.604779866823534</c:v>
                </c:pt>
                <c:pt idx="82">
                  <c:v>56.925846786947517</c:v>
                </c:pt>
                <c:pt idx="83">
                  <c:v>57.247263818256627</c:v>
                </c:pt>
                <c:pt idx="84">
                  <c:v>57.569038921554942</c:v>
                </c:pt>
                <c:pt idx="85">
                  <c:v>57.891179746167872</c:v>
                </c:pt>
                <c:pt idx="86">
                  <c:v>58.21369364415559</c:v>
                </c:pt>
                <c:pt idx="87">
                  <c:v>58.536587683743328</c:v>
                </c:pt>
                <c:pt idx="88">
                  <c:v>58.859868662019984</c:v>
                </c:pt>
                <c:pt idx="89">
                  <c:v>59.183543116952023</c:v>
                </c:pt>
                <c:pt idx="90">
                  <c:v>59.507617338756283</c:v>
                </c:pt>
                <c:pt idx="91">
                  <c:v>59.832097380672316</c:v>
                </c:pt>
                <c:pt idx="92">
                  <c:v>60.15698906917148</c:v>
                </c:pt>
                <c:pt idx="93">
                  <c:v>60.482298013637887</c:v>
                </c:pt>
                <c:pt idx="94">
                  <c:v>60.808029615553089</c:v>
                </c:pt>
                <c:pt idx="95">
                  <c:v>61.134189077215147</c:v>
                </c:pt>
                <c:pt idx="96">
                  <c:v>61.460781410019131</c:v>
                </c:pt>
                <c:pt idx="97">
                  <c:v>61.787811442325925</c:v>
                </c:pt>
                <c:pt idx="98">
                  <c:v>62.115283826943006</c:v>
                </c:pt>
                <c:pt idx="99">
                  <c:v>62.443203048239845</c:v>
                </c:pt>
                <c:pt idx="100">
                  <c:v>62.771573428919062</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8.5400430258154909</c:v>
                </c:pt>
                <c:pt idx="1">
                  <c:v>8.731000472624002</c:v>
                </c:pt>
                <c:pt idx="2">
                  <c:v>9.0569579194325094</c:v>
                </c:pt>
                <c:pt idx="3">
                  <c:v>9.3829153662410238</c:v>
                </c:pt>
                <c:pt idx="4">
                  <c:v>9.708872813049533</c:v>
                </c:pt>
                <c:pt idx="5">
                  <c:v>10.034830259858046</c:v>
                </c:pt>
                <c:pt idx="6">
                  <c:v>10.360787706666555</c:v>
                </c:pt>
                <c:pt idx="7">
                  <c:v>10.686745153475067</c:v>
                </c:pt>
                <c:pt idx="8">
                  <c:v>11.012702600283577</c:v>
                </c:pt>
                <c:pt idx="9">
                  <c:v>11.338660047092088</c:v>
                </c:pt>
                <c:pt idx="10">
                  <c:v>11.664617493900602</c:v>
                </c:pt>
                <c:pt idx="11">
                  <c:v>12.132007745726316</c:v>
                </c:pt>
                <c:pt idx="12">
                  <c:v>13.595212339532404</c:v>
                </c:pt>
                <c:pt idx="13">
                  <c:v>14.759804075861819</c:v>
                </c:pt>
                <c:pt idx="14">
                  <c:v>15.895771483072494</c:v>
                </c:pt>
                <c:pt idx="15">
                  <c:v>17.031824370033394</c:v>
                </c:pt>
                <c:pt idx="16">
                  <c:v>18.167962750909545</c:v>
                </c:pt>
                <c:pt idx="17">
                  <c:v>19.304186639869091</c:v>
                </c:pt>
                <c:pt idx="18">
                  <c:v>20.440496051083315</c:v>
                </c:pt>
                <c:pt idx="19">
                  <c:v>21.576890998726636</c:v>
                </c:pt>
                <c:pt idx="20">
                  <c:v>22.71337149697661</c:v>
                </c:pt>
                <c:pt idx="21">
                  <c:v>23.849937560013899</c:v>
                </c:pt>
                <c:pt idx="22">
                  <c:v>24.986589202022316</c:v>
                </c:pt>
                <c:pt idx="23">
                  <c:v>26.123326437188819</c:v>
                </c:pt>
                <c:pt idx="24">
                  <c:v>27.260149279703498</c:v>
                </c:pt>
                <c:pt idx="25">
                  <c:v>28.397057743759571</c:v>
                </c:pt>
                <c:pt idx="26">
                  <c:v>29.534051843553399</c:v>
                </c:pt>
                <c:pt idx="27">
                  <c:v>30.671131593284471</c:v>
                </c:pt>
                <c:pt idx="28">
                  <c:v>31.808297007155435</c:v>
                </c:pt>
                <c:pt idx="29">
                  <c:v>32.945548099372047</c:v>
                </c:pt>
                <c:pt idx="30">
                  <c:v>34.082884884143269</c:v>
                </c:pt>
                <c:pt idx="31">
                  <c:v>35.220307375681131</c:v>
                </c:pt>
                <c:pt idx="32">
                  <c:v>36.35781558820085</c:v>
                </c:pt>
                <c:pt idx="33">
                  <c:v>37.495409535920757</c:v>
                </c:pt>
                <c:pt idx="34">
                  <c:v>38.633089233062364</c:v>
                </c:pt>
                <c:pt idx="35">
                  <c:v>39.770854693850282</c:v>
                </c:pt>
                <c:pt idx="36">
                  <c:v>40.908705932512333</c:v>
                </c:pt>
                <c:pt idx="37">
                  <c:v>42.046642963279417</c:v>
                </c:pt>
                <c:pt idx="38">
                  <c:v>43.184665800385666</c:v>
                </c:pt>
                <c:pt idx="39">
                  <c:v>44.322774458068231</c:v>
                </c:pt>
                <c:pt idx="40">
                  <c:v>45.460968950567555</c:v>
                </c:pt>
                <c:pt idx="41">
                  <c:v>46.599249292127119</c:v>
                </c:pt>
                <c:pt idx="42">
                  <c:v>47.737615496993648</c:v>
                </c:pt>
                <c:pt idx="43">
                  <c:v>48.87606757941694</c:v>
                </c:pt>
                <c:pt idx="44">
                  <c:v>50.014605553650014</c:v>
                </c:pt>
                <c:pt idx="45">
                  <c:v>51.153229433948979</c:v>
                </c:pt>
                <c:pt idx="46">
                  <c:v>52.291939234573178</c:v>
                </c:pt>
                <c:pt idx="47">
                  <c:v>53.430734969784993</c:v>
                </c:pt>
                <c:pt idx="48">
                  <c:v>54.569616653850083</c:v>
                </c:pt>
                <c:pt idx="49">
                  <c:v>55.70858430103727</c:v>
                </c:pt>
                <c:pt idx="50">
                  <c:v>56.847637925618351</c:v>
                </c:pt>
                <c:pt idx="51">
                  <c:v>57.986777541868484</c:v>
                </c:pt>
                <c:pt idx="52">
                  <c:v>59.126003164065921</c:v>
                </c:pt>
                <c:pt idx="53">
                  <c:v>60.265314806492057</c:v>
                </c:pt>
                <c:pt idx="54">
                  <c:v>61.404712483431446</c:v>
                </c:pt>
                <c:pt idx="55">
                  <c:v>62.544196209171844</c:v>
                </c:pt>
                <c:pt idx="56">
                  <c:v>63.683765998004127</c:v>
                </c:pt>
                <c:pt idx="57">
                  <c:v>64.823421864222382</c:v>
                </c:pt>
                <c:pt idx="58">
                  <c:v>65.963163822123803</c:v>
                </c:pt>
                <c:pt idx="59">
                  <c:v>67.102991886008795</c:v>
                </c:pt>
                <c:pt idx="60">
                  <c:v>68.242906070180908</c:v>
                </c:pt>
                <c:pt idx="61">
                  <c:v>69.382906388946921</c:v>
                </c:pt>
                <c:pt idx="62">
                  <c:v>70.522992856616654</c:v>
                </c:pt>
                <c:pt idx="63">
                  <c:v>71.663165487503235</c:v>
                </c:pt>
                <c:pt idx="64">
                  <c:v>72.803424295922881</c:v>
                </c:pt>
                <c:pt idx="65">
                  <c:v>73.943769296194986</c:v>
                </c:pt>
                <c:pt idx="66">
                  <c:v>75.084200502642133</c:v>
                </c:pt>
                <c:pt idx="67">
                  <c:v>76.224717929590128</c:v>
                </c:pt>
                <c:pt idx="68">
                  <c:v>77.365321591367845</c:v>
                </c:pt>
                <c:pt idx="69">
                  <c:v>78.506011502307416</c:v>
                </c:pt>
                <c:pt idx="70">
                  <c:v>79.646787676744097</c:v>
                </c:pt>
                <c:pt idx="71">
                  <c:v>80.787650129016384</c:v>
                </c:pt>
                <c:pt idx="72">
                  <c:v>81.928598873465887</c:v>
                </c:pt>
                <c:pt idx="73">
                  <c:v>83.069633924437454</c:v>
                </c:pt>
                <c:pt idx="74">
                  <c:v>84.210755296279032</c:v>
                </c:pt>
                <c:pt idx="75">
                  <c:v>85.351963003341865</c:v>
                </c:pt>
                <c:pt idx="76">
                  <c:v>86.493257059980237</c:v>
                </c:pt>
                <c:pt idx="77">
                  <c:v>87.634637480551731</c:v>
                </c:pt>
                <c:pt idx="78">
                  <c:v>88.776104279417027</c:v>
                </c:pt>
                <c:pt idx="79">
                  <c:v>89.917657470940043</c:v>
                </c:pt>
                <c:pt idx="80">
                  <c:v>91.059297069487954</c:v>
                </c:pt>
                <c:pt idx="81">
                  <c:v>92.201023089430947</c:v>
                </c:pt>
                <c:pt idx="82">
                  <c:v>93.342835545142464</c:v>
                </c:pt>
                <c:pt idx="83">
                  <c:v>94.484734450999255</c:v>
                </c:pt>
                <c:pt idx="84">
                  <c:v>95.626719821381101</c:v>
                </c:pt>
                <c:pt idx="85">
                  <c:v>96.768791670670993</c:v>
                </c:pt>
                <c:pt idx="86">
                  <c:v>97.910950013255331</c:v>
                </c:pt>
                <c:pt idx="87">
                  <c:v>99.053194863523231</c:v>
                </c:pt>
                <c:pt idx="88">
                  <c:v>100.19552623586756</c:v>
                </c:pt>
                <c:pt idx="89">
                  <c:v>101.33794414468397</c:v>
                </c:pt>
                <c:pt idx="90">
                  <c:v>102.4804486043715</c:v>
                </c:pt>
                <c:pt idx="91">
                  <c:v>103.62303962933231</c:v>
                </c:pt>
                <c:pt idx="92">
                  <c:v>104.76571723397187</c:v>
                </c:pt>
                <c:pt idx="93">
                  <c:v>105.90848143269862</c:v>
                </c:pt>
                <c:pt idx="94">
                  <c:v>107.05133223992439</c:v>
                </c:pt>
                <c:pt idx="95">
                  <c:v>108.1942696700642</c:v>
                </c:pt>
                <c:pt idx="96">
                  <c:v>109.33729373753616</c:v>
                </c:pt>
                <c:pt idx="97">
                  <c:v>110.4804044567617</c:v>
                </c:pt>
                <c:pt idx="98">
                  <c:v>111.62360184216533</c:v>
                </c:pt>
                <c:pt idx="99">
                  <c:v>112.76688590817484</c:v>
                </c:pt>
                <c:pt idx="100">
                  <c:v>113.9102566692212</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346.89635907416937</c:v>
                </c:pt>
                <c:pt idx="92">
                  <c:v>343.12574647553714</c:v>
                </c:pt>
                <c:pt idx="93">
                  <c:v>339.43622231988616</c:v>
                </c:pt>
                <c:pt idx="94">
                  <c:v>335.8251986781853</c:v>
                </c:pt>
                <c:pt idx="95">
                  <c:v>332.29019658683598</c:v>
                </c:pt>
                <c:pt idx="96">
                  <c:v>328.82884037238978</c:v>
                </c:pt>
                <c:pt idx="97">
                  <c:v>325.4388523273135</c:v>
                </c:pt>
                <c:pt idx="98">
                  <c:v>322.11804771172882</c:v>
                </c:pt>
                <c:pt idx="99">
                  <c:v>318.86433005807493</c:v>
                </c:pt>
                <c:pt idx="100">
                  <c:v>315.67568675749413</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0.15560842445998202</c:v>
                </c:pt>
                <c:pt idx="14">
                  <c:v>0.16148249361674116</c:v>
                </c:pt>
                <c:pt idx="15">
                  <c:v>0.16715026092245194</c:v>
                </c:pt>
                <c:pt idx="16">
                  <c:v>0.17263204716450153</c:v>
                </c:pt>
                <c:pt idx="17">
                  <c:v>0.1779450412064624</c:v>
                </c:pt>
                <c:pt idx="18">
                  <c:v>0.1831039368002024</c:v>
                </c:pt>
                <c:pt idx="19">
                  <c:v>0.18812141200165239</c:v>
                </c:pt>
                <c:pt idx="20">
                  <c:v>0.19300849627738767</c:v>
                </c:pt>
                <c:pt idx="21">
                  <c:v>0.19777485587662877</c:v>
                </c:pt>
                <c:pt idx="22">
                  <c:v>0.20242901866773994</c:v>
                </c:pt>
                <c:pt idx="23">
                  <c:v>0.20697855343138116</c:v>
                </c:pt>
                <c:pt idx="24">
                  <c:v>0.21143021440255416</c:v>
                </c:pt>
                <c:pt idx="25">
                  <c:v>0.21579005895562692</c:v>
                </c:pt>
                <c:pt idx="26">
                  <c:v>0.22006354429081584</c:v>
                </c:pt>
                <c:pt idx="27">
                  <c:v>0.22425560752765758</c:v>
                </c:pt>
                <c:pt idx="28">
                  <c:v>0.22837073255862211</c:v>
                </c:pt>
                <c:pt idx="29">
                  <c:v>0.23241300624346437</c:v>
                </c:pt>
                <c:pt idx="30">
                  <c:v>0.23638616595073311</c:v>
                </c:pt>
                <c:pt idx="31">
                  <c:v>0.2402936400212258</c:v>
                </c:pt>
                <c:pt idx="32">
                  <c:v>0.24413858240026989</c:v>
                </c:pt>
                <c:pt idx="33">
                  <c:v>0.24792390243414669</c:v>
                </c:pt>
                <c:pt idx="34">
                  <c:v>0.25165229063121841</c:v>
                </c:pt>
                <c:pt idx="35">
                  <c:v>0.25532624103625173</c:v>
                </c:pt>
                <c:pt idx="36">
                  <c:v>0.2589480707467523</c:v>
                </c:pt>
                <c:pt idx="37">
                  <c:v>0.26251993700522624</c:v>
                </c:pt>
                <c:pt idx="38">
                  <c:v>0.26604385222551358</c:v>
                </c:pt>
                <c:pt idx="39">
                  <c:v>0.26952169725043251</c:v>
                </c:pt>
                <c:pt idx="40">
                  <c:v>0.27295523308871866</c:v>
                </c:pt>
                <c:pt idx="41">
                  <c:v>0.27634611133916764</c:v>
                </c:pt>
                <c:pt idx="42">
                  <c:v>0.27969588347711261</c:v>
                </c:pt>
                <c:pt idx="43">
                  <c:v>0.28300600915140561</c:v>
                </c:pt>
                <c:pt idx="44">
                  <c:v>0.28627786361779423</c:v>
                </c:pt>
                <c:pt idx="45">
                  <c:v>0.28951274441608149</c:v>
                </c:pt>
                <c:pt idx="46">
                  <c:v>0.29271187738302357</c:v>
                </c:pt>
                <c:pt idx="47">
                  <c:v>0.29587642207999126</c:v>
                </c:pt>
                <c:pt idx="48">
                  <c:v>0.29900747670354338</c:v>
                </c:pt>
                <c:pt idx="49">
                  <c:v>0.30210608253787768</c:v>
                </c:pt>
                <c:pt idx="50">
                  <c:v>0.30517322800033736</c:v>
                </c:pt>
                <c:pt idx="51">
                  <c:v>0.30820985232453035</c:v>
                </c:pt>
                <c:pt idx="52">
                  <c:v>0.31121684891996404</c:v>
                </c:pt>
                <c:pt idx="53">
                  <c:v>0.31419506844225714</c:v>
                </c:pt>
                <c:pt idx="54">
                  <c:v>0.3171453216038313</c:v>
                </c:pt>
                <c:pt idx="55">
                  <c:v>0.3200683817514009</c:v>
                </c:pt>
                <c:pt idx="56">
                  <c:v>0.32296498723348233</c:v>
                </c:pt>
                <c:pt idx="57">
                  <c:v>0.32583584357845946</c:v>
                </c:pt>
                <c:pt idx="58">
                  <c:v>0.32868162550141011</c:v>
                </c:pt>
                <c:pt idx="59">
                  <c:v>0.33150297875586598</c:v>
                </c:pt>
                <c:pt idx="60">
                  <c:v>0.33430052184490389</c:v>
                </c:pt>
                <c:pt idx="61">
                  <c:v>0.33707484760441259</c:v>
                </c:pt>
                <c:pt idx="62">
                  <c:v>0.33982652467001589</c:v>
                </c:pt>
                <c:pt idx="63">
                  <c:v>0.34255609883793314</c:v>
                </c:pt>
                <c:pt idx="64">
                  <c:v>0.34526409432900307</c:v>
                </c:pt>
                <c:pt idx="65">
                  <c:v>0.34795101496416081</c:v>
                </c:pt>
                <c:pt idx="66">
                  <c:v>0.35061734525883426</c:v>
                </c:pt>
                <c:pt idx="67">
                  <c:v>0.35326355144299204</c:v>
                </c:pt>
                <c:pt idx="68">
                  <c:v>0.3558900824129248</c:v>
                </c:pt>
                <c:pt idx="69">
                  <c:v>0.35849737062026171</c:v>
                </c:pt>
                <c:pt idx="70">
                  <c:v>0.36108583290320911</c:v>
                </c:pt>
                <c:pt idx="71">
                  <c:v>0.36365587126453375</c:v>
                </c:pt>
                <c:pt idx="72">
                  <c:v>0.3662078736004048</c:v>
                </c:pt>
                <c:pt idx="73">
                  <c:v>0.36874221438383342</c:v>
                </c:pt>
                <c:pt idx="74">
                  <c:v>0.37125925530612153</c:v>
                </c:pt>
                <c:pt idx="75">
                  <c:v>0.37375934587942927</c:v>
                </c:pt>
                <c:pt idx="76">
                  <c:v>0.37624282400330478</c:v>
                </c:pt>
                <c:pt idx="77">
                  <c:v>0.37871001649777458</c:v>
                </c:pt>
                <c:pt idx="78">
                  <c:v>0.38116123960537701</c:v>
                </c:pt>
                <c:pt idx="79">
                  <c:v>0.38359679946432101</c:v>
                </c:pt>
                <c:pt idx="80">
                  <c:v>0.38601699255477534</c:v>
                </c:pt>
                <c:pt idx="81">
                  <c:v>0.38842210612012851</c:v>
                </c:pt>
                <c:pt idx="82">
                  <c:v>0.39081241856491622</c:v>
                </c:pt>
                <c:pt idx="83">
                  <c:v>0.39318819983097431</c:v>
                </c:pt>
                <c:pt idx="84">
                  <c:v>0.39554971175325754</c:v>
                </c:pt>
                <c:pt idx="85">
                  <c:v>0.39789720839665116</c:v>
                </c:pt>
                <c:pt idx="86">
                  <c:v>0.40023093637500207</c:v>
                </c:pt>
                <c:pt idx="87">
                  <c:v>0.40255113515350305</c:v>
                </c:pt>
                <c:pt idx="88">
                  <c:v>0.40485803733547987</c:v>
                </c:pt>
                <c:pt idx="89">
                  <c:v>0.40715186893455335</c:v>
                </c:pt>
                <c:pt idx="90">
                  <c:v>0.40943284963307797</c:v>
                </c:pt>
                <c:pt idx="91">
                  <c:v>0.41170119302769276</c:v>
                </c:pt>
                <c:pt idx="92">
                  <c:v>0.41395710686276233</c:v>
                </c:pt>
                <c:pt idx="93">
                  <c:v>0.41620079325242926</c:v>
                </c:pt>
                <c:pt idx="94">
                  <c:v>0.41843244889194992</c:v>
                </c:pt>
                <c:pt idx="95">
                  <c:v>0.42065226525893951</c:v>
                </c:pt>
                <c:pt idx="96">
                  <c:v>0.42286042880510832</c:v>
                </c:pt>
                <c:pt idx="97">
                  <c:v>0.42505712113903354</c:v>
                </c:pt>
                <c:pt idx="98">
                  <c:v>0.42724251920047229</c:v>
                </c:pt>
                <c:pt idx="99">
                  <c:v>0.46925085358505719</c:v>
                </c:pt>
                <c:pt idx="100">
                  <c:v>0.47399076119702743</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Single'!$AJ$5:$AJ$105</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0.15088168211988012</c:v>
                </c:pt>
                <c:pt idx="12">
                  <c:v>0.15759077730048873</c:v>
                </c:pt>
                <c:pt idx="13">
                  <c:v>0.16402568146793331</c:v>
                </c:pt>
                <c:pt idx="14">
                  <c:v>0.17021749402416783</c:v>
                </c:pt>
                <c:pt idx="15">
                  <c:v>0.17619184533546181</c:v>
                </c:pt>
                <c:pt idx="16">
                  <c:v>0.1819701553924791</c:v>
                </c:pt>
                <c:pt idx="17">
                  <c:v>0.18757054284831259</c:v>
                </c:pt>
                <c:pt idx="18">
                  <c:v>0.19300849627738761</c:v>
                </c:pt>
                <c:pt idx="19">
                  <c:v>0.19829737952405233</c:v>
                </c:pt>
                <c:pt idx="20">
                  <c:v>0.2034488186668916</c:v>
                </c:pt>
                <c:pt idx="21">
                  <c:v>0.20847300282722803</c:v>
                </c:pt>
                <c:pt idx="22">
                  <c:v>0.21337892116760057</c:v>
                </c:pt>
                <c:pt idx="23">
                  <c:v>0.21817455188334131</c:v>
                </c:pt>
                <c:pt idx="24">
                  <c:v>0.22286701456326927</c:v>
                </c:pt>
                <c:pt idx="25">
                  <c:v>0.22746269424059887</c:v>
                </c:pt>
                <c:pt idx="26">
                  <c:v>0.23196734330944055</c:v>
                </c:pt>
                <c:pt idx="27">
                  <c:v>0.23638616595073311</c:v>
                </c:pt>
                <c:pt idx="28">
                  <c:v>0.24072388860213942</c:v>
                </c:pt>
                <c:pt idx="29">
                  <c:v>0.24498481919209383</c:v>
                </c:pt>
                <c:pt idx="30">
                  <c:v>0.24917289725295283</c:v>
                </c:pt>
                <c:pt idx="31">
                  <c:v>0.25329173657322157</c:v>
                </c:pt>
                <c:pt idx="32">
                  <c:v>0.25734466170318354</c:v>
                </c:pt>
                <c:pt idx="33">
                  <c:v>0.26133473936308899</c:v>
                </c:pt>
                <c:pt idx="34">
                  <c:v>0.26526480559776744</c:v>
                </c:pt>
                <c:pt idx="35">
                  <c:v>0.26913748936123527</c:v>
                </c:pt>
                <c:pt idx="36">
                  <c:v>0.27295523308871861</c:v>
                </c:pt>
                <c:pt idx="37">
                  <c:v>0.27672031071347902</c:v>
                </c:pt>
                <c:pt idx="38">
                  <c:v>0.28043484350595971</c:v>
                </c:pt>
                <c:pt idx="39">
                  <c:v>0.28410081404856935</c:v>
                </c:pt>
                <c:pt idx="40">
                  <c:v>0.28772007860750259</c:v>
                </c:pt>
                <c:pt idx="41">
                  <c:v>0.29129437812075115</c:v>
                </c:pt>
                <c:pt idx="42">
                  <c:v>0.29482534798691046</c:v>
                </c:pt>
                <c:pt idx="43">
                  <c:v>0.29831452681096593</c:v>
                </c:pt>
                <c:pt idx="44">
                  <c:v>0.30176336423976025</c:v>
                </c:pt>
                <c:pt idx="45">
                  <c:v>0.30517322800033736</c:v>
                </c:pt>
                <c:pt idx="46">
                  <c:v>0.30854541023809379</c:v>
                </c:pt>
                <c:pt idx="47">
                  <c:v>0.31188113323803551</c:v>
                </c:pt>
                <c:pt idx="48">
                  <c:v>0.31518155460097746</c:v>
                </c:pt>
                <c:pt idx="49">
                  <c:v>0.31844777193683843</c:v>
                </c:pt>
                <c:pt idx="50">
                  <c:v>0.32168082712897939</c:v>
                </c:pt>
                <c:pt idx="51">
                  <c:v>0.32488171021655254</c:v>
                </c:pt>
                <c:pt idx="52">
                  <c:v>0.32805136293586662</c:v>
                </c:pt>
                <c:pt idx="53">
                  <c:v>0.33119068195667489</c:v>
                </c:pt>
                <c:pt idx="54">
                  <c:v>0.33430052184490389</c:v>
                </c:pt>
                <c:pt idx="55">
                  <c:v>0.3373816977795665</c:v>
                </c:pt>
                <c:pt idx="56">
                  <c:v>0.34043498804833566</c:v>
                </c:pt>
                <c:pt idx="57">
                  <c:v>0.34346113634342695</c:v>
                </c:pt>
                <c:pt idx="58">
                  <c:v>0.34646085387697961</c:v>
                </c:pt>
                <c:pt idx="59">
                  <c:v>0.34943482133298265</c:v>
                </c:pt>
                <c:pt idx="60">
                  <c:v>0.35238369067092362</c:v>
                </c:pt>
                <c:pt idx="61">
                  <c:v>0.35530808679469833</c:v>
                </c:pt>
                <c:pt idx="62">
                  <c:v>0.35820860909888325</c:v>
                </c:pt>
                <c:pt idx="63">
                  <c:v>0.36108583290320911</c:v>
                </c:pt>
                <c:pt idx="64">
                  <c:v>0.3639403107849582</c:v>
                </c:pt>
                <c:pt idx="65">
                  <c:v>0.36677257381802642</c:v>
                </c:pt>
                <c:pt idx="66">
                  <c:v>0.36958313272651838</c:v>
                </c:pt>
                <c:pt idx="67">
                  <c:v>0.37237247895997228</c:v>
                </c:pt>
                <c:pt idx="68">
                  <c:v>0.37514108569662519</c:v>
                </c:pt>
                <c:pt idx="69">
                  <c:v>0.37788940878051924</c:v>
                </c:pt>
                <c:pt idx="70">
                  <c:v>0.38061788759770349</c:v>
                </c:pt>
                <c:pt idx="71">
                  <c:v>0.38332694589630106</c:v>
                </c:pt>
                <c:pt idx="72">
                  <c:v>0.38601699255477523</c:v>
                </c:pt>
                <c:pt idx="73">
                  <c:v>0.38868842230233858</c:v>
                </c:pt>
                <c:pt idx="74">
                  <c:v>0.39134161639509896</c:v>
                </c:pt>
                <c:pt idx="75">
                  <c:v>0.3939769432512219</c:v>
                </c:pt>
                <c:pt idx="76">
                  <c:v>0.39659475904810465</c:v>
                </c:pt>
                <c:pt idx="77">
                  <c:v>0.39919540828430367</c:v>
                </c:pt>
                <c:pt idx="78">
                  <c:v>0.40177922430872354</c:v>
                </c:pt>
                <c:pt idx="79">
                  <c:v>0.40434652981937069</c:v>
                </c:pt>
                <c:pt idx="80">
                  <c:v>0.4068976373337832</c:v>
                </c:pt>
                <c:pt idx="81">
                  <c:v>0.40943284963307797</c:v>
                </c:pt>
                <c:pt idx="82">
                  <c:v>0.41195246018140286</c:v>
                </c:pt>
                <c:pt idx="83">
                  <c:v>0.41445675352243688</c:v>
                </c:pt>
                <c:pt idx="84">
                  <c:v>0.41694600565445605</c:v>
                </c:pt>
                <c:pt idx="85">
                  <c:v>0.41942048438536395</c:v>
                </c:pt>
                <c:pt idx="86">
                  <c:v>0.42188044966898036</c:v>
                </c:pt>
                <c:pt idx="87">
                  <c:v>0.42432615392378153</c:v>
                </c:pt>
                <c:pt idx="88">
                  <c:v>0.42675784233520114</c:v>
                </c:pt>
                <c:pt idx="89">
                  <c:v>0.42917575314251399</c:v>
                </c:pt>
                <c:pt idx="90">
                  <c:v>0.43158011791125384</c:v>
                </c:pt>
                <c:pt idx="91">
                  <c:v>0.43397116179204753</c:v>
                </c:pt>
                <c:pt idx="92">
                  <c:v>0.43634910376668262</c:v>
                </c:pt>
                <c:pt idx="93">
                  <c:v>0.4387141568821718</c:v>
                </c:pt>
                <c:pt idx="94">
                  <c:v>0.44106652847352007</c:v>
                </c:pt>
                <c:pt idx="95">
                  <c:v>0.44340642037585587</c:v>
                </c:pt>
                <c:pt idx="96">
                  <c:v>0.44573402912653853</c:v>
                </c:pt>
                <c:pt idx="97">
                  <c:v>0.44804954615781678</c:v>
                </c:pt>
                <c:pt idx="98">
                  <c:v>0.45035315798057118</c:v>
                </c:pt>
                <c:pt idx="99">
                  <c:v>0.45264504635964037</c:v>
                </c:pt>
                <c:pt idx="100">
                  <c:v>0.45492538848119773</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0.15560842445998202</c:v>
                </c:pt>
                <c:pt idx="14">
                  <c:v>0.16148249361674116</c:v>
                </c:pt>
                <c:pt idx="15">
                  <c:v>0.16715026092245194</c:v>
                </c:pt>
                <c:pt idx="16">
                  <c:v>0.17263204716450153</c:v>
                </c:pt>
                <c:pt idx="17">
                  <c:v>0.1779450412064624</c:v>
                </c:pt>
                <c:pt idx="18">
                  <c:v>0.1831039368002024</c:v>
                </c:pt>
                <c:pt idx="19">
                  <c:v>0.18812141200165239</c:v>
                </c:pt>
                <c:pt idx="20">
                  <c:v>0.19300849627738767</c:v>
                </c:pt>
                <c:pt idx="21">
                  <c:v>0.19777485587662877</c:v>
                </c:pt>
                <c:pt idx="22">
                  <c:v>0.20242901866773994</c:v>
                </c:pt>
                <c:pt idx="23">
                  <c:v>0.20697855343138116</c:v>
                </c:pt>
                <c:pt idx="24">
                  <c:v>0.21143021440255416</c:v>
                </c:pt>
                <c:pt idx="25">
                  <c:v>0.21579005895562692</c:v>
                </c:pt>
                <c:pt idx="26">
                  <c:v>0.22006354429081584</c:v>
                </c:pt>
                <c:pt idx="27">
                  <c:v>0.22425560752765758</c:v>
                </c:pt>
                <c:pt idx="28">
                  <c:v>0.22837073255862211</c:v>
                </c:pt>
                <c:pt idx="29">
                  <c:v>0.23241300624346437</c:v>
                </c:pt>
                <c:pt idx="30">
                  <c:v>0.23638616595073311</c:v>
                </c:pt>
                <c:pt idx="31">
                  <c:v>0.2402936400212258</c:v>
                </c:pt>
                <c:pt idx="32">
                  <c:v>0.24413858240026989</c:v>
                </c:pt>
                <c:pt idx="33">
                  <c:v>0.24792390243414669</c:v>
                </c:pt>
                <c:pt idx="34">
                  <c:v>0.25165229063121841</c:v>
                </c:pt>
                <c:pt idx="35">
                  <c:v>0.25532624103625173</c:v>
                </c:pt>
                <c:pt idx="36">
                  <c:v>0.2589480707467523</c:v>
                </c:pt>
                <c:pt idx="37">
                  <c:v>0.26251993700522624</c:v>
                </c:pt>
                <c:pt idx="38">
                  <c:v>0.26604385222551358</c:v>
                </c:pt>
                <c:pt idx="39">
                  <c:v>0.26952169725043251</c:v>
                </c:pt>
                <c:pt idx="40">
                  <c:v>0.27295523308871866</c:v>
                </c:pt>
                <c:pt idx="41">
                  <c:v>0.27634611133916764</c:v>
                </c:pt>
                <c:pt idx="42">
                  <c:v>0.27969588347711261</c:v>
                </c:pt>
                <c:pt idx="43">
                  <c:v>0.28300600915140561</c:v>
                </c:pt>
                <c:pt idx="44">
                  <c:v>0.28627786361779423</c:v>
                </c:pt>
                <c:pt idx="45">
                  <c:v>0.28951274441608149</c:v>
                </c:pt>
                <c:pt idx="46">
                  <c:v>0.29271187738302357</c:v>
                </c:pt>
                <c:pt idx="47">
                  <c:v>0.29587642207999126</c:v>
                </c:pt>
                <c:pt idx="48">
                  <c:v>0.29900747670354338</c:v>
                </c:pt>
                <c:pt idx="49">
                  <c:v>0.30210608253787768</c:v>
                </c:pt>
                <c:pt idx="50">
                  <c:v>0.30517322800033736</c:v>
                </c:pt>
                <c:pt idx="51">
                  <c:v>0.30820985232453035</c:v>
                </c:pt>
                <c:pt idx="52">
                  <c:v>0.31121684891996404</c:v>
                </c:pt>
                <c:pt idx="53">
                  <c:v>0.31419506844225714</c:v>
                </c:pt>
                <c:pt idx="54">
                  <c:v>0.3171453216038313</c:v>
                </c:pt>
                <c:pt idx="55">
                  <c:v>0.3200683817514009</c:v>
                </c:pt>
                <c:pt idx="56">
                  <c:v>0.32296498723348233</c:v>
                </c:pt>
                <c:pt idx="57">
                  <c:v>0.32583584357845946</c:v>
                </c:pt>
                <c:pt idx="58">
                  <c:v>0.32868162550141011</c:v>
                </c:pt>
                <c:pt idx="59">
                  <c:v>0.33150297875586598</c:v>
                </c:pt>
                <c:pt idx="60">
                  <c:v>0.33430052184490389</c:v>
                </c:pt>
                <c:pt idx="61">
                  <c:v>0.33707484760441259</c:v>
                </c:pt>
                <c:pt idx="62">
                  <c:v>0.33982652467001589</c:v>
                </c:pt>
                <c:pt idx="63">
                  <c:v>0.34255609883793314</c:v>
                </c:pt>
                <c:pt idx="64">
                  <c:v>0.34526409432900307</c:v>
                </c:pt>
                <c:pt idx="65">
                  <c:v>0.34795101496416081</c:v>
                </c:pt>
                <c:pt idx="66">
                  <c:v>0.35061734525883426</c:v>
                </c:pt>
                <c:pt idx="67">
                  <c:v>0.35326355144299204</c:v>
                </c:pt>
                <c:pt idx="68">
                  <c:v>0.3558900824129248</c:v>
                </c:pt>
                <c:pt idx="69">
                  <c:v>0.35849737062026171</c:v>
                </c:pt>
                <c:pt idx="70">
                  <c:v>0.36108583290320911</c:v>
                </c:pt>
                <c:pt idx="71">
                  <c:v>0.36365587126453375</c:v>
                </c:pt>
                <c:pt idx="72">
                  <c:v>0.3662078736004048</c:v>
                </c:pt>
                <c:pt idx="73">
                  <c:v>0.36874221438383342</c:v>
                </c:pt>
                <c:pt idx="74">
                  <c:v>0.37125925530612153</c:v>
                </c:pt>
                <c:pt idx="75">
                  <c:v>0.37375934587942927</c:v>
                </c:pt>
                <c:pt idx="76">
                  <c:v>0.37624282400330478</c:v>
                </c:pt>
                <c:pt idx="77">
                  <c:v>0.37871001649777458</c:v>
                </c:pt>
                <c:pt idx="78">
                  <c:v>0.38116123960537701</c:v>
                </c:pt>
                <c:pt idx="79">
                  <c:v>0.38359679946432101</c:v>
                </c:pt>
                <c:pt idx="80">
                  <c:v>0.38601699255477534</c:v>
                </c:pt>
                <c:pt idx="81">
                  <c:v>0.38842210612012851</c:v>
                </c:pt>
                <c:pt idx="82">
                  <c:v>0.39081241856491622</c:v>
                </c:pt>
                <c:pt idx="83">
                  <c:v>0.39318819983097431</c:v>
                </c:pt>
                <c:pt idx="84">
                  <c:v>0.39554971175325754</c:v>
                </c:pt>
                <c:pt idx="85">
                  <c:v>0.39789720839665116</c:v>
                </c:pt>
                <c:pt idx="86">
                  <c:v>0.40023093637500207</c:v>
                </c:pt>
                <c:pt idx="87">
                  <c:v>0.40255113515350305</c:v>
                </c:pt>
                <c:pt idx="88">
                  <c:v>0.40485803733547987</c:v>
                </c:pt>
                <c:pt idx="89">
                  <c:v>0.40715186893455335</c:v>
                </c:pt>
                <c:pt idx="90">
                  <c:v>0.40943284963307797</c:v>
                </c:pt>
                <c:pt idx="91">
                  <c:v>0.41170119302769276</c:v>
                </c:pt>
                <c:pt idx="92">
                  <c:v>0.41395710686276233</c:v>
                </c:pt>
                <c:pt idx="93">
                  <c:v>0.41620079325242926</c:v>
                </c:pt>
                <c:pt idx="94">
                  <c:v>0.41843244889194992</c:v>
                </c:pt>
                <c:pt idx="95">
                  <c:v>0.42065226525893951</c:v>
                </c:pt>
                <c:pt idx="96">
                  <c:v>0.42286042880510832</c:v>
                </c:pt>
                <c:pt idx="97">
                  <c:v>0.42505712113903354</c:v>
                </c:pt>
                <c:pt idx="98">
                  <c:v>0.42724251920047229</c:v>
                </c:pt>
                <c:pt idx="99">
                  <c:v>0.42941679542669131</c:v>
                </c:pt>
                <c:pt idx="100">
                  <c:v>0.43158011791125384</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347.15068191806546</c:v>
                </c:pt>
                <c:pt idx="45">
                  <c:v>339.43622231988616</c:v>
                </c:pt>
                <c:pt idx="46">
                  <c:v>332.05717400858424</c:v>
                </c:pt>
                <c:pt idx="47">
                  <c:v>324.99212775308251</c:v>
                </c:pt>
                <c:pt idx="48">
                  <c:v>318.22145842489323</c:v>
                </c:pt>
                <c:pt idx="49">
                  <c:v>311.72714294683431</c:v>
                </c:pt>
                <c:pt idx="50">
                  <c:v>305.49260008789759</c:v>
                </c:pt>
                <c:pt idx="51">
                  <c:v>299.50254910578195</c:v>
                </c:pt>
                <c:pt idx="52">
                  <c:v>293.74288469990148</c:v>
                </c:pt>
                <c:pt idx="53">
                  <c:v>288.20056612065804</c:v>
                </c:pt>
                <c:pt idx="54">
                  <c:v>282.86351859990509</c:v>
                </c:pt>
                <c:pt idx="55">
                  <c:v>277.72054553445236</c:v>
                </c:pt>
                <c:pt idx="56">
                  <c:v>272.76125007847992</c:v>
                </c:pt>
                <c:pt idx="57">
                  <c:v>267.97596498938378</c:v>
                </c:pt>
                <c:pt idx="58">
                  <c:v>263.35568973094627</c:v>
                </c:pt>
                <c:pt idx="59">
                  <c:v>258.89203397279459</c:v>
                </c:pt>
                <c:pt idx="60">
                  <c:v>254.57716673991465</c:v>
                </c:pt>
                <c:pt idx="61">
                  <c:v>250.40377056385049</c:v>
                </c:pt>
                <c:pt idx="62">
                  <c:v>246.36500007088515</c:v>
                </c:pt>
                <c:pt idx="63">
                  <c:v>242.45444451420445</c:v>
                </c:pt>
                <c:pt idx="64">
                  <c:v>238.66609381867002</c:v>
                </c:pt>
                <c:pt idx="65">
                  <c:v>234.99430775992121</c:v>
                </c:pt>
                <c:pt idx="66">
                  <c:v>231.43378794537688</c:v>
                </c:pt>
                <c:pt idx="67">
                  <c:v>227.97955230440115</c:v>
                </c:pt>
                <c:pt idx="68">
                  <c:v>224.62691182933642</c:v>
                </c:pt>
                <c:pt idx="69">
                  <c:v>221.37144933905626</c:v>
                </c:pt>
                <c:pt idx="70">
                  <c:v>218.20900006278399</c:v>
                </c:pt>
                <c:pt idx="71">
                  <c:v>215.13563386471662</c:v>
                </c:pt>
                <c:pt idx="72">
                  <c:v>212.14763894992888</c:v>
                </c:pt>
                <c:pt idx="73">
                  <c:v>209.2415069095189</c:v>
                </c:pt>
                <c:pt idx="74">
                  <c:v>206.41391897830925</c:v>
                </c:pt>
                <c:pt idx="75">
                  <c:v>203.66173339193173</c:v>
                </c:pt>
                <c:pt idx="76">
                  <c:v>200.98197374203781</c:v>
                </c:pt>
                <c:pt idx="77">
                  <c:v>198.99313715265509</c:v>
                </c:pt>
                <c:pt idx="78">
                  <c:v>197.83534138574859</c:v>
                </c:pt>
                <c:pt idx="79">
                  <c:v>196.69156082053618</c:v>
                </c:pt>
                <c:pt idx="80">
                  <c:v>195.56154250546746</c:v>
                </c:pt>
                <c:pt idx="81">
                  <c:v>194.445039539741</c:v>
                </c:pt>
                <c:pt idx="82">
                  <c:v>193.34181089345807</c:v>
                </c:pt>
                <c:pt idx="83">
                  <c:v>192.25162123415288</c:v>
                </c:pt>
                <c:pt idx="84">
                  <c:v>191.17424075943794</c:v>
                </c:pt>
                <c:pt idx="85">
                  <c:v>190.10944503551329</c:v>
                </c:pt>
                <c:pt idx="86">
                  <c:v>189.05701484130265</c:v>
                </c:pt>
                <c:pt idx="87">
                  <c:v>188.01673601798751</c:v>
                </c:pt>
                <c:pt idx="88">
                  <c:v>186.98839932372414</c:v>
                </c:pt>
                <c:pt idx="89">
                  <c:v>185.97180029333467</c:v>
                </c:pt>
                <c:pt idx="90">
                  <c:v>184.9667391027757</c:v>
                </c:pt>
                <c:pt idx="91">
                  <c:v>183.9730204381959</c:v>
                </c:pt>
                <c:pt idx="92">
                  <c:v>182.99045336940137</c:v>
                </c:pt>
                <c:pt idx="93">
                  <c:v>182.01885122755732</c:v>
                </c:pt>
                <c:pt idx="94">
                  <c:v>181.05803148696177</c:v>
                </c:pt>
                <c:pt idx="95">
                  <c:v>180.10781565073293</c:v>
                </c:pt>
                <c:pt idx="96">
                  <c:v>179.1680291402615</c:v>
                </c:pt>
                <c:pt idx="97">
                  <c:v>178.2385011882819</c:v>
                </c:pt>
                <c:pt idx="98">
                  <c:v>177.31906473542742</c:v>
                </c:pt>
                <c:pt idx="99">
                  <c:v>176.40955633013547</c:v>
                </c:pt>
                <c:pt idx="100">
                  <c:v>175.50981603177814</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347.87597831697911</c:v>
                </c:pt>
                <c:pt idx="52">
                  <c:v>341.18605565703723</c:v>
                </c:pt>
                <c:pt idx="53">
                  <c:v>334.74858290879121</c:v>
                </c:pt>
                <c:pt idx="54">
                  <c:v>328.54953507714697</c:v>
                </c:pt>
                <c:pt idx="55">
                  <c:v>322.57590716665339</c:v>
                </c:pt>
                <c:pt idx="56">
                  <c:v>316.815623110106</c:v>
                </c:pt>
                <c:pt idx="57">
                  <c:v>311.25745428361296</c:v>
                </c:pt>
                <c:pt idx="58">
                  <c:v>305.89094645113693</c:v>
                </c:pt>
                <c:pt idx="59">
                  <c:v>300.70635413840574</c:v>
                </c:pt>
                <c:pt idx="60">
                  <c:v>295.69458156943233</c:v>
                </c:pt>
                <c:pt idx="61">
                  <c:v>290.84712941255634</c:v>
                </c:pt>
                <c:pt idx="62">
                  <c:v>286.15604668009576</c:v>
                </c:pt>
                <c:pt idx="63">
                  <c:v>281.61388720898316</c:v>
                </c:pt>
                <c:pt idx="64">
                  <c:v>277.21367022134274</c:v>
                </c:pt>
                <c:pt idx="65">
                  <c:v>272.94884452562974</c:v>
                </c:pt>
                <c:pt idx="66">
                  <c:v>268.81325597221115</c:v>
                </c:pt>
                <c:pt idx="67">
                  <c:v>264.80111782337224</c:v>
                </c:pt>
                <c:pt idx="68">
                  <c:v>260.90698373773438</c:v>
                </c:pt>
                <c:pt idx="69">
                  <c:v>257.12572310385423</c:v>
                </c:pt>
                <c:pt idx="70">
                  <c:v>253.45249848808481</c:v>
                </c:pt>
                <c:pt idx="71">
                  <c:v>249.88274498825268</c:v>
                </c:pt>
                <c:pt idx="72">
                  <c:v>246.41215130786026</c:v>
                </c:pt>
                <c:pt idx="73">
                  <c:v>243.03664238583474</c:v>
                </c:pt>
                <c:pt idx="74">
                  <c:v>239.75236343467483</c:v>
                </c:pt>
                <c:pt idx="75">
                  <c:v>236.55566525554582</c:v>
                </c:pt>
                <c:pt idx="76">
                  <c:v>233.44309071270965</c:v>
                </c:pt>
                <c:pt idx="77">
                  <c:v>230.41136226189519</c:v>
                </c:pt>
                <c:pt idx="78">
                  <c:v>227.45737043802481</c:v>
                </c:pt>
                <c:pt idx="79">
                  <c:v>224.5781632172903</c:v>
                </c:pt>
                <c:pt idx="80">
                  <c:v>221.77093617707413</c:v>
                </c:pt>
                <c:pt idx="81">
                  <c:v>219.03302338476459</c:v>
                </c:pt>
                <c:pt idx="82">
                  <c:v>216.36188895324315</c:v>
                </c:pt>
                <c:pt idx="83">
                  <c:v>214.40116250826429</c:v>
                </c:pt>
                <c:pt idx="84">
                  <c:v>213.1540543178829</c:v>
                </c:pt>
                <c:pt idx="85">
                  <c:v>211.92199042789036</c:v>
                </c:pt>
                <c:pt idx="86">
                  <c:v>210.7047002434746</c:v>
                </c:pt>
                <c:pt idx="87">
                  <c:v>209.50191962056473</c:v>
                </c:pt>
                <c:pt idx="88">
                  <c:v>208.31339067474542</c:v>
                </c:pt>
                <c:pt idx="89">
                  <c:v>207.13886159692254</c:v>
                </c:pt>
                <c:pt idx="90">
                  <c:v>205.97808647546589</c:v>
                </c:pt>
                <c:pt idx="91">
                  <c:v>204.83082512456284</c:v>
                </c:pt>
                <c:pt idx="92">
                  <c:v>203.69684291853261</c:v>
                </c:pt>
                <c:pt idx="93">
                  <c:v>202.57591063186078</c:v>
                </c:pt>
                <c:pt idx="94">
                  <c:v>201.46780428472451</c:v>
                </c:pt>
                <c:pt idx="95">
                  <c:v>200.37230499379052</c:v>
                </c:pt>
                <c:pt idx="96">
                  <c:v>199.28919882807665</c:v>
                </c:pt>
                <c:pt idx="97">
                  <c:v>198.21827666967778</c:v>
                </c:pt>
                <c:pt idx="98">
                  <c:v>197.15933407916518</c:v>
                </c:pt>
                <c:pt idx="99">
                  <c:v>196.11217116547851</c:v>
                </c:pt>
                <c:pt idx="100">
                  <c:v>195.07659246013512</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345.79480981280562</c:v>
                </c:pt>
                <c:pt idx="84">
                  <c:v>341.6782049340818</c:v>
                </c:pt>
                <c:pt idx="85">
                  <c:v>337.658461346622</c:v>
                </c:pt>
                <c:pt idx="86">
                  <c:v>333.73220016817288</c:v>
                </c:pt>
                <c:pt idx="87">
                  <c:v>329.89619786738939</c:v>
                </c:pt>
                <c:pt idx="88">
                  <c:v>326.14737743707803</c:v>
                </c:pt>
                <c:pt idx="89">
                  <c:v>322.48280016250419</c:v>
                </c:pt>
                <c:pt idx="90">
                  <c:v>318.89965793847642</c:v>
                </c:pt>
                <c:pt idx="91">
                  <c:v>315.3952660929985</c:v>
                </c:pt>
                <c:pt idx="92">
                  <c:v>311.96705667894429</c:v>
                </c:pt>
                <c:pt idx="93">
                  <c:v>308.61257219852547</c:v>
                </c:pt>
                <c:pt idx="94">
                  <c:v>305.32945972832846</c:v>
                </c:pt>
                <c:pt idx="95">
                  <c:v>302.11546541539866</c:v>
                </c:pt>
                <c:pt idx="96">
                  <c:v>298.96842931732158</c:v>
                </c:pt>
                <c:pt idx="97">
                  <c:v>295.88628056147292</c:v>
                </c:pt>
                <c:pt idx="98">
                  <c:v>292.8670328006416</c:v>
                </c:pt>
                <c:pt idx="99">
                  <c:v>289.90877994406952</c:v>
                </c:pt>
                <c:pt idx="100">
                  <c:v>287.00969214462879</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198.99313715265509</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4.6999999999999993E-3</c:v>
                </c:pt>
                <c:pt idx="1">
                  <c:v>1.3617777777777782E-2</c:v>
                </c:pt>
                <c:pt idx="2">
                  <c:v>2.7235555555555565E-2</c:v>
                </c:pt>
                <c:pt idx="3">
                  <c:v>4.0853333333333346E-2</c:v>
                </c:pt>
                <c:pt idx="4">
                  <c:v>5.447111111111113E-2</c:v>
                </c:pt>
                <c:pt idx="5">
                  <c:v>6.8088888888888921E-2</c:v>
                </c:pt>
                <c:pt idx="6">
                  <c:v>8.1913362333811898E-2</c:v>
                </c:pt>
                <c:pt idx="7">
                  <c:v>0.10322263408725417</c:v>
                </c:pt>
                <c:pt idx="8">
                  <c:v>0.12611387144974309</c:v>
                </c:pt>
                <c:pt idx="9">
                  <c:v>0.15048445562516563</c:v>
                </c:pt>
                <c:pt idx="10">
                  <c:v>0.17624949341705973</c:v>
                </c:pt>
                <c:pt idx="11">
                  <c:v>0.20333723099945097</c:v>
                </c:pt>
                <c:pt idx="12">
                  <c:v>0.23168597590411646</c:v>
                </c:pt>
                <c:pt idx="13">
                  <c:v>0.24274998569630354</c:v>
                </c:pt>
                <c:pt idx="14">
                  <c:v>0.25191356542362792</c:v>
                </c:pt>
                <c:pt idx="15">
                  <c:v>0.26075531314497374</c:v>
                </c:pt>
                <c:pt idx="16">
                  <c:v>0.26930692939882223</c:v>
                </c:pt>
                <c:pt idx="17">
                  <c:v>0.27759522890552552</c:v>
                </c:pt>
                <c:pt idx="18">
                  <c:v>0.28564313399765101</c:v>
                </c:pt>
                <c:pt idx="19">
                  <c:v>0.29347042251117728</c:v>
                </c:pt>
                <c:pt idx="20">
                  <c:v>0.30109430047375157</c:v>
                </c:pt>
                <c:pt idx="21">
                  <c:v>0.3085298472865578</c:v>
                </c:pt>
                <c:pt idx="22">
                  <c:v>0.31579036647047287</c:v>
                </c:pt>
                <c:pt idx="23">
                  <c:v>0.32288766536435615</c:v>
                </c:pt>
                <c:pt idx="24">
                  <c:v>0.32983228061142428</c:v>
                </c:pt>
                <c:pt idx="25">
                  <c:v>0.33663366174852782</c:v>
                </c:pt>
                <c:pt idx="26">
                  <c:v>0.3433003220375872</c:v>
                </c:pt>
                <c:pt idx="27">
                  <c:v>0.34983996341184348</c:v>
                </c:pt>
                <c:pt idx="28">
                  <c:v>0.35625958076785647</c:v>
                </c:pt>
                <c:pt idx="29">
                  <c:v>0.36256554962899851</c:v>
                </c:pt>
                <c:pt idx="30">
                  <c:v>0.36876370031046524</c:v>
                </c:pt>
                <c:pt idx="31">
                  <c:v>0.37485938104248578</c:v>
                </c:pt>
                <c:pt idx="32">
                  <c:v>0.38085751199686801</c:v>
                </c:pt>
                <c:pt idx="33">
                  <c:v>0.38676263176958209</c:v>
                </c:pt>
                <c:pt idx="34">
                  <c:v>0.39257893756825801</c:v>
                </c:pt>
                <c:pt idx="35">
                  <c:v>0.39831032011625195</c:v>
                </c:pt>
                <c:pt idx="36">
                  <c:v>0.40396039409823337</c:v>
                </c:pt>
                <c:pt idx="37">
                  <c:v>0.40953252482420593</c:v>
                </c:pt>
                <c:pt idx="38">
                  <c:v>0.41502985167066936</c:v>
                </c:pt>
                <c:pt idx="39">
                  <c:v>0.42045530876261589</c:v>
                </c:pt>
                <c:pt idx="40">
                  <c:v>0.4258116432832193</c:v>
                </c:pt>
                <c:pt idx="41">
                  <c:v>0.43110143173555387</c:v>
                </c:pt>
                <c:pt idx="42">
                  <c:v>0.43632709442954992</c:v>
                </c:pt>
                <c:pt idx="43">
                  <c:v>0.44149090842532901</c:v>
                </c:pt>
                <c:pt idx="44">
                  <c:v>0.44659501912931265</c:v>
                </c:pt>
                <c:pt idx="45">
                  <c:v>0.45164145071062733</c:v>
                </c:pt>
                <c:pt idx="46">
                  <c:v>0.45663211548125793</c:v>
                </c:pt>
                <c:pt idx="47">
                  <c:v>0.4615688223632286</c:v>
                </c:pt>
                <c:pt idx="48">
                  <c:v>0.46645328454912466</c:v>
                </c:pt>
                <c:pt idx="49">
                  <c:v>0.4712871264479388</c:v>
                </c:pt>
                <c:pt idx="50">
                  <c:v>0.47607188999608502</c:v>
                </c:pt>
                <c:pt idx="51">
                  <c:v>0.47789118661105817</c:v>
                </c:pt>
                <c:pt idx="52">
                  <c:v>0.4732737721744229</c:v>
                </c:pt>
                <c:pt idx="53">
                  <c:v>0.46878766360923324</c:v>
                </c:pt>
                <c:pt idx="54">
                  <c:v>0.46442675334993655</c:v>
                </c:pt>
                <c:pt idx="55">
                  <c:v>0.46018532429420184</c:v>
                </c:pt>
                <c:pt idx="56">
                  <c:v>0.45605801828328646</c:v>
                </c:pt>
                <c:pt idx="57">
                  <c:v>0.45203980763743712</c:v>
                </c:pt>
                <c:pt idx="58">
                  <c:v>0.44812596940243915</c:v>
                </c:pt>
                <c:pt idx="59">
                  <c:v>0.44431206200732376</c:v>
                </c:pt>
                <c:pt idx="60">
                  <c:v>0.44059390407091042</c:v>
                </c:pt>
                <c:pt idx="61">
                  <c:v>0.43696755512724494</c:v>
                </c:pt>
                <c:pt idx="62">
                  <c:v>0.43342929806792924</c:v>
                </c:pt>
                <c:pt idx="63">
                  <c:v>0.42997562312348037</c:v>
                </c:pt>
                <c:pt idx="64">
                  <c:v>0.4266032132267859</c:v>
                </c:pt>
                <c:pt idx="65">
                  <c:v>0.42330893061990305</c:v>
                </c:pt>
                <c:pt idx="66">
                  <c:v>0.42008980458127426</c:v>
                </c:pt>
                <c:pt idx="67">
                  <c:v>0.41694302016424678</c:v>
                </c:pt>
                <c:pt idx="68">
                  <c:v>0.41386590784986627</c:v>
                </c:pt>
                <c:pt idx="69">
                  <c:v>0.41085593402749554</c:v>
                </c:pt>
                <c:pt idx="70">
                  <c:v>0.4079106922261081</c:v>
                </c:pt>
                <c:pt idx="71">
                  <c:v>0.40502789502728892</c:v>
                </c:pt>
                <c:pt idx="72">
                  <c:v>0.4022053665981748</c:v>
                </c:pt>
                <c:pt idx="73">
                  <c:v>0.39944103578894813</c:v>
                </c:pt>
                <c:pt idx="74">
                  <c:v>0.39673292974511942</c:v>
                </c:pt>
                <c:pt idx="75">
                  <c:v>0.39407916798983073</c:v>
                </c:pt>
                <c:pt idx="76">
                  <c:v>0.3914779569358513</c:v>
                </c:pt>
                <c:pt idx="77">
                  <c:v>0.38892758479086686</c:v>
                </c:pt>
                <c:pt idx="78">
                  <c:v>0.38642641682318379</c:v>
                </c:pt>
                <c:pt idx="79">
                  <c:v>0.38397289095809728</c:v>
                </c:pt>
                <c:pt idx="80">
                  <c:v>0.38156551367797231</c:v>
                </c:pt>
                <c:pt idx="81">
                  <c:v>0.37920285620158756</c:v>
                </c:pt>
                <c:pt idx="82">
                  <c:v>0.37688355092053705</c:v>
                </c:pt>
                <c:pt idx="83">
                  <c:v>0.37573848029314155</c:v>
                </c:pt>
                <c:pt idx="84">
                  <c:v>0.37579650186975466</c:v>
                </c:pt>
                <c:pt idx="85">
                  <c:v>0.37584171370012676</c:v>
                </c:pt>
                <c:pt idx="86">
                  <c:v>0.375874567806256</c:v>
                </c:pt>
                <c:pt idx="87">
                  <c:v>0.37589549899195224</c:v>
                </c:pt>
                <c:pt idx="88">
                  <c:v>0.37590492561076938</c:v>
                </c:pt>
                <c:pt idx="89">
                  <c:v>0.37590325029369814</c:v>
                </c:pt>
                <c:pt idx="90">
                  <c:v>0.3758908606390764</c:v>
                </c:pt>
                <c:pt idx="91">
                  <c:v>0.37586812986699336</c:v>
                </c:pt>
                <c:pt idx="92">
                  <c:v>0.37583541744031418</c:v>
                </c:pt>
                <c:pt idx="93">
                  <c:v>0.37579306965430098</c:v>
                </c:pt>
                <c:pt idx="94">
                  <c:v>0.37574142019667184</c:v>
                </c:pt>
                <c:pt idx="95">
                  <c:v>0.37568079067981924</c:v>
                </c:pt>
                <c:pt idx="96">
                  <c:v>0.37561149114678921</c:v>
                </c:pt>
                <c:pt idx="97">
                  <c:v>0.37553382055252166</c:v>
                </c:pt>
                <c:pt idx="98">
                  <c:v>0.37544806722175073</c:v>
                </c:pt>
                <c:pt idx="99">
                  <c:v>0.37535450928487674</c:v>
                </c:pt>
                <c:pt idx="100">
                  <c:v>0.37525341509303162</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5.4230769230769228E-3</c:v>
                </c:pt>
                <c:pt idx="1">
                  <c:v>1.5712820512820518E-2</c:v>
                </c:pt>
                <c:pt idx="2">
                  <c:v>3.1425641025641035E-2</c:v>
                </c:pt>
                <c:pt idx="3">
                  <c:v>4.7138461538461553E-2</c:v>
                </c:pt>
                <c:pt idx="4">
                  <c:v>6.285128205128207E-2</c:v>
                </c:pt>
                <c:pt idx="5">
                  <c:v>7.8564102564102595E-2</c:v>
                </c:pt>
                <c:pt idx="6">
                  <c:v>9.451541807747528E-2</c:v>
                </c:pt>
                <c:pt idx="7">
                  <c:v>0.11910303933144713</c:v>
                </c:pt>
                <c:pt idx="8">
                  <c:v>0.14551600551893434</c:v>
                </c:pt>
                <c:pt idx="9">
                  <c:v>0.17363591033672954</c:v>
                </c:pt>
                <c:pt idx="10">
                  <c:v>0.20336480009660737</c:v>
                </c:pt>
                <c:pt idx="11">
                  <c:v>0.23461988192244346</c:v>
                </c:pt>
                <c:pt idx="12">
                  <c:v>0.26732997219705745</c:v>
                </c:pt>
                <c:pt idx="13">
                  <c:v>0.28009613734188871</c:v>
                </c:pt>
                <c:pt idx="14">
                  <c:v>0.29066949856572449</c:v>
                </c:pt>
                <c:pt idx="15">
                  <c:v>0.30087151516727739</c:v>
                </c:pt>
                <c:pt idx="16">
                  <c:v>0.31073876469094874</c:v>
                </c:pt>
                <c:pt idx="17">
                  <c:v>0.32030218719868325</c:v>
                </c:pt>
                <c:pt idx="18">
                  <c:v>0.32958823153575117</c:v>
                </c:pt>
                <c:pt idx="19">
                  <c:v>0.33861971828212767</c:v>
                </c:pt>
                <c:pt idx="20">
                  <c:v>0.34741650054663648</c:v>
                </c:pt>
                <c:pt idx="21">
                  <c:v>0.35599597763833585</c:v>
                </c:pt>
                <c:pt idx="22">
                  <c:v>0.36437349977362254</c:v>
                </c:pt>
                <c:pt idx="23">
                  <c:v>0.3725626908050263</c:v>
                </c:pt>
                <c:pt idx="24">
                  <c:v>0.38057570839779725</c:v>
                </c:pt>
                <c:pt idx="25">
                  <c:v>0.38842345586368593</c:v>
                </c:pt>
                <c:pt idx="26">
                  <c:v>0.39611575619721601</c:v>
                </c:pt>
                <c:pt idx="27">
                  <c:v>0.40366149624443476</c:v>
                </c:pt>
                <c:pt idx="28">
                  <c:v>0.41106874703983448</c:v>
                </c:pt>
                <c:pt idx="29">
                  <c:v>0.41834486495653672</c:v>
                </c:pt>
                <c:pt idx="30">
                  <c:v>0.42549657728130602</c:v>
                </c:pt>
                <c:pt idx="31">
                  <c:v>0.43253005504902209</c:v>
                </c:pt>
                <c:pt idx="32">
                  <c:v>0.43945097538100153</c:v>
                </c:pt>
                <c:pt idx="33">
                  <c:v>0.44626457511874862</c:v>
                </c:pt>
                <c:pt idx="34">
                  <c:v>0.45297569719414382</c:v>
                </c:pt>
                <c:pt idx="35">
                  <c:v>0.45958883090336755</c:v>
                </c:pt>
                <c:pt idx="36">
                  <c:v>0.46610814703642306</c:v>
                </c:pt>
                <c:pt idx="37">
                  <c:v>0.47253752864331444</c:v>
                </c:pt>
                <c:pt idx="38">
                  <c:v>0.47888059808154149</c:v>
                </c:pt>
                <c:pt idx="39">
                  <c:v>0.48514074087994136</c:v>
                </c:pt>
                <c:pt idx="40">
                  <c:v>0.49132112686525303</c:v>
                </c:pt>
                <c:pt idx="41">
                  <c:v>0.49742472892563899</c:v>
                </c:pt>
                <c:pt idx="42">
                  <c:v>0.50345433972640374</c:v>
                </c:pt>
                <c:pt idx="43">
                  <c:v>0.50941258664461031</c:v>
                </c:pt>
                <c:pt idx="44">
                  <c:v>0.51110691900643646</c:v>
                </c:pt>
                <c:pt idx="45">
                  <c:v>0.5053960479306211</c:v>
                </c:pt>
                <c:pt idx="46">
                  <c:v>0.49987242800527915</c:v>
                </c:pt>
                <c:pt idx="47">
                  <c:v>0.49452604511311071</c:v>
                </c:pt>
                <c:pt idx="48">
                  <c:v>0.54096045197740106</c:v>
                </c:pt>
                <c:pt idx="49">
                  <c:v>0.54096045197740128</c:v>
                </c:pt>
                <c:pt idx="50">
                  <c:v>0.54096045197740106</c:v>
                </c:pt>
                <c:pt idx="51">
                  <c:v>0.54096045197740117</c:v>
                </c:pt>
                <c:pt idx="52">
                  <c:v>0.54096045197740117</c:v>
                </c:pt>
                <c:pt idx="53">
                  <c:v>0.54096045197740095</c:v>
                </c:pt>
                <c:pt idx="54">
                  <c:v>0.54096045197740106</c:v>
                </c:pt>
                <c:pt idx="55">
                  <c:v>0.54096045197740117</c:v>
                </c:pt>
                <c:pt idx="56">
                  <c:v>0.54096045197740117</c:v>
                </c:pt>
                <c:pt idx="57">
                  <c:v>0.54096045197740106</c:v>
                </c:pt>
                <c:pt idx="58">
                  <c:v>0.54096045197740117</c:v>
                </c:pt>
                <c:pt idx="59">
                  <c:v>0.54096045197740117</c:v>
                </c:pt>
                <c:pt idx="60">
                  <c:v>0.54096045197740117</c:v>
                </c:pt>
                <c:pt idx="61">
                  <c:v>0.54096045197740117</c:v>
                </c:pt>
                <c:pt idx="62">
                  <c:v>0.54096045197740106</c:v>
                </c:pt>
                <c:pt idx="63">
                  <c:v>0.54096045197740117</c:v>
                </c:pt>
                <c:pt idx="64">
                  <c:v>0.54096045197740117</c:v>
                </c:pt>
                <c:pt idx="65">
                  <c:v>0.54096045197740117</c:v>
                </c:pt>
                <c:pt idx="66">
                  <c:v>0.54096045197740117</c:v>
                </c:pt>
                <c:pt idx="67">
                  <c:v>0.54096045197740106</c:v>
                </c:pt>
                <c:pt idx="68">
                  <c:v>0.54096045197740117</c:v>
                </c:pt>
                <c:pt idx="69">
                  <c:v>0.54096045197740117</c:v>
                </c:pt>
                <c:pt idx="70">
                  <c:v>0.54096045197740117</c:v>
                </c:pt>
                <c:pt idx="71">
                  <c:v>0.54096045197740117</c:v>
                </c:pt>
                <c:pt idx="72">
                  <c:v>0.54096045197740117</c:v>
                </c:pt>
                <c:pt idx="73">
                  <c:v>0.54096045197740117</c:v>
                </c:pt>
                <c:pt idx="74">
                  <c:v>0.54096045197740117</c:v>
                </c:pt>
                <c:pt idx="75">
                  <c:v>0.54096045197740117</c:v>
                </c:pt>
                <c:pt idx="76">
                  <c:v>0.54096045197740106</c:v>
                </c:pt>
                <c:pt idx="77">
                  <c:v>0.53957754497162247</c:v>
                </c:pt>
                <c:pt idx="78">
                  <c:v>0.53643813721904898</c:v>
                </c:pt>
                <c:pt idx="79">
                  <c:v>0.5333367322249154</c:v>
                </c:pt>
                <c:pt idx="80">
                  <c:v>0.53027264410136365</c:v>
                </c:pt>
                <c:pt idx="81">
                  <c:v>0.52724520336737457</c:v>
                </c:pt>
                <c:pt idx="82">
                  <c:v>0.52425375646110739</c:v>
                </c:pt>
                <c:pt idx="83">
                  <c:v>0.52129766526952992</c:v>
                </c:pt>
                <c:pt idx="84">
                  <c:v>0.51837630667462975</c:v>
                </c:pt>
                <c:pt idx="85">
                  <c:v>0.5154890721155263</c:v>
                </c:pt>
                <c:pt idx="86">
                  <c:v>0.51263536716583979</c:v>
                </c:pt>
                <c:pt idx="87">
                  <c:v>0.50981461112569681</c:v>
                </c:pt>
                <c:pt idx="88">
                  <c:v>0.50702623662779045</c:v>
                </c:pt>
                <c:pt idx="89">
                  <c:v>0.50426968925692661</c:v>
                </c:pt>
                <c:pt idx="90">
                  <c:v>0.50154442718252645</c:v>
                </c:pt>
                <c:pt idx="91">
                  <c:v>0.49884992080356966</c:v>
                </c:pt>
                <c:pt idx="92">
                  <c:v>0.49618565240549212</c:v>
                </c:pt>
                <c:pt idx="93">
                  <c:v>0.49355111582856875</c:v>
                </c:pt>
                <c:pt idx="94">
                  <c:v>0.49094581614733862</c:v>
                </c:pt>
                <c:pt idx="95">
                  <c:v>0.48836926936064123</c:v>
                </c:pt>
                <c:pt idx="96">
                  <c:v>0.48582100209186285</c:v>
                </c:pt>
                <c:pt idx="97">
                  <c:v>0.48330055129899507</c:v>
                </c:pt>
                <c:pt idx="98">
                  <c:v>0.48080746399413971</c:v>
                </c:pt>
                <c:pt idx="99">
                  <c:v>0.47834129697209804</c:v>
                </c:pt>
                <c:pt idx="100">
                  <c:v>0.47590161654770602</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2.7115384615384614E-3</c:v>
                </c:pt>
                <c:pt idx="1">
                  <c:v>7.8564102564102588E-3</c:v>
                </c:pt>
                <c:pt idx="2">
                  <c:v>1.5712820512820518E-2</c:v>
                </c:pt>
                <c:pt idx="3">
                  <c:v>2.3569230769230776E-2</c:v>
                </c:pt>
                <c:pt idx="4">
                  <c:v>3.1425641025641035E-2</c:v>
                </c:pt>
                <c:pt idx="5">
                  <c:v>3.9282051282051297E-2</c:v>
                </c:pt>
                <c:pt idx="6">
                  <c:v>4.725770903873764E-2</c:v>
                </c:pt>
                <c:pt idx="7">
                  <c:v>5.9551519665723564E-2</c:v>
                </c:pt>
                <c:pt idx="8">
                  <c:v>7.2758002759467172E-2</c:v>
                </c:pt>
                <c:pt idx="9">
                  <c:v>8.6817955168364769E-2</c:v>
                </c:pt>
                <c:pt idx="10">
                  <c:v>0.10168240004830369</c:v>
                </c:pt>
                <c:pt idx="11">
                  <c:v>0.11730994096122173</c:v>
                </c:pt>
                <c:pt idx="12">
                  <c:v>0.13366498609852873</c:v>
                </c:pt>
                <c:pt idx="13">
                  <c:v>0.14004806867094435</c:v>
                </c:pt>
                <c:pt idx="14">
                  <c:v>0.14533474928286225</c:v>
                </c:pt>
                <c:pt idx="15">
                  <c:v>0.1504357575836387</c:v>
                </c:pt>
                <c:pt idx="16">
                  <c:v>0.15536938234547437</c:v>
                </c:pt>
                <c:pt idx="17">
                  <c:v>0.16015109359934163</c:v>
                </c:pt>
                <c:pt idx="18">
                  <c:v>0.16479411576787559</c:v>
                </c:pt>
                <c:pt idx="19">
                  <c:v>0.16930985914106383</c:v>
                </c:pt>
                <c:pt idx="20">
                  <c:v>0.17370825027331824</c:v>
                </c:pt>
                <c:pt idx="21">
                  <c:v>0.17799798881916792</c:v>
                </c:pt>
                <c:pt idx="22">
                  <c:v>0.18218674988681127</c:v>
                </c:pt>
                <c:pt idx="23">
                  <c:v>0.18628134540251315</c:v>
                </c:pt>
                <c:pt idx="24">
                  <c:v>0.19028785419889863</c:v>
                </c:pt>
                <c:pt idx="25">
                  <c:v>0.19421172793184296</c:v>
                </c:pt>
                <c:pt idx="26">
                  <c:v>0.198057878098608</c:v>
                </c:pt>
                <c:pt idx="27">
                  <c:v>0.20183074812221738</c:v>
                </c:pt>
                <c:pt idx="28">
                  <c:v>0.20553437351991724</c:v>
                </c:pt>
                <c:pt idx="29">
                  <c:v>0.20917243247826836</c:v>
                </c:pt>
                <c:pt idx="30">
                  <c:v>0.21274828864065301</c:v>
                </c:pt>
                <c:pt idx="31">
                  <c:v>0.21626502752451104</c:v>
                </c:pt>
                <c:pt idx="32">
                  <c:v>0.21972548769050076</c:v>
                </c:pt>
                <c:pt idx="33">
                  <c:v>0.22313228755937431</c:v>
                </c:pt>
                <c:pt idx="34">
                  <c:v>0.22648784859707191</c:v>
                </c:pt>
                <c:pt idx="35">
                  <c:v>0.22979441545168378</c:v>
                </c:pt>
                <c:pt idx="36">
                  <c:v>0.23305407351821153</c:v>
                </c:pt>
                <c:pt idx="37">
                  <c:v>0.23626876432165722</c:v>
                </c:pt>
                <c:pt idx="38">
                  <c:v>0.23944029904077074</c:v>
                </c:pt>
                <c:pt idx="39">
                  <c:v>0.24257037043997068</c:v>
                </c:pt>
                <c:pt idx="40">
                  <c:v>0.24566056343262652</c:v>
                </c:pt>
                <c:pt idx="41">
                  <c:v>0.2487123644628195</c:v>
                </c:pt>
                <c:pt idx="42">
                  <c:v>0.25172716986320187</c:v>
                </c:pt>
                <c:pt idx="43">
                  <c:v>0.25470629332230516</c:v>
                </c:pt>
                <c:pt idx="44">
                  <c:v>0.25765097257460345</c:v>
                </c:pt>
                <c:pt idx="45">
                  <c:v>0.26056237540997729</c:v>
                </c:pt>
                <c:pt idx="46">
                  <c:v>0.26344160508534109</c:v>
                </c:pt>
                <c:pt idx="47">
                  <c:v>0.26628970520955497</c:v>
                </c:pt>
                <c:pt idx="48">
                  <c:v>0.26910766416295651</c:v>
                </c:pt>
                <c:pt idx="49">
                  <c:v>0.27189641910458012</c:v>
                </c:pt>
                <c:pt idx="50">
                  <c:v>0.27465685961312597</c:v>
                </c:pt>
                <c:pt idx="51">
                  <c:v>0.27738983100177855</c:v>
                </c:pt>
                <c:pt idx="52">
                  <c:v>0.28009613734188871</c:v>
                </c:pt>
                <c:pt idx="53">
                  <c:v>0.28277654422617349</c:v>
                </c:pt>
                <c:pt idx="54">
                  <c:v>0.28543178129834795</c:v>
                </c:pt>
                <c:pt idx="55">
                  <c:v>0.28806254457287361</c:v>
                </c:pt>
                <c:pt idx="56">
                  <c:v>0.29066949856572449</c:v>
                </c:pt>
                <c:pt idx="57">
                  <c:v>0.29325327825465242</c:v>
                </c:pt>
                <c:pt idx="58">
                  <c:v>0.29581449088533757</c:v>
                </c:pt>
                <c:pt idx="59">
                  <c:v>0.29835371763797808</c:v>
                </c:pt>
                <c:pt idx="60">
                  <c:v>0.30087151516727739</c:v>
                </c:pt>
                <c:pt idx="61">
                  <c:v>0.30336841702738959</c:v>
                </c:pt>
                <c:pt idx="62">
                  <c:v>0.30584493499215415</c:v>
                </c:pt>
                <c:pt idx="63">
                  <c:v>0.30830156027987582</c:v>
                </c:pt>
                <c:pt idx="64">
                  <c:v>0.31073876469094874</c:v>
                </c:pt>
                <c:pt idx="65">
                  <c:v>0.31315700166579014</c:v>
                </c:pt>
                <c:pt idx="66">
                  <c:v>0.31555670726980056</c:v>
                </c:pt>
                <c:pt idx="67">
                  <c:v>0.31793830111140975</c:v>
                </c:pt>
                <c:pt idx="68">
                  <c:v>0.32030218719868325</c:v>
                </c:pt>
                <c:pt idx="69">
                  <c:v>0.32264875473943988</c:v>
                </c:pt>
                <c:pt idx="70">
                  <c:v>0.3249783788893687</c:v>
                </c:pt>
                <c:pt idx="71">
                  <c:v>0.3272914214522174</c:v>
                </c:pt>
                <c:pt idx="72">
                  <c:v>0.32958823153575117</c:v>
                </c:pt>
                <c:pt idx="73">
                  <c:v>0.33186914616685104</c:v>
                </c:pt>
                <c:pt idx="74">
                  <c:v>0.33413449086882013</c:v>
                </c:pt>
                <c:pt idx="75">
                  <c:v>0.33638458020369572</c:v>
                </c:pt>
                <c:pt idx="76">
                  <c:v>0.33861971828212767</c:v>
                </c:pt>
                <c:pt idx="77">
                  <c:v>0.34084019924316195</c:v>
                </c:pt>
                <c:pt idx="78">
                  <c:v>0.34304630770607225</c:v>
                </c:pt>
                <c:pt idx="79">
                  <c:v>0.34523831919620418</c:v>
                </c:pt>
                <c:pt idx="80">
                  <c:v>0.34741650054663648</c:v>
                </c:pt>
                <c:pt idx="81">
                  <c:v>0.34958111027731736</c:v>
                </c:pt>
                <c:pt idx="82">
                  <c:v>0.35173239895319958</c:v>
                </c:pt>
                <c:pt idx="83">
                  <c:v>0.34961891462363215</c:v>
                </c:pt>
                <c:pt idx="84">
                  <c:v>0.34753161886634326</c:v>
                </c:pt>
                <c:pt idx="85">
                  <c:v>0.34548126693738818</c:v>
                </c:pt>
                <c:pt idx="86">
                  <c:v>0.34346678173554346</c:v>
                </c:pt>
                <c:pt idx="87">
                  <c:v>0.34148712961722427</c:v>
                </c:pt>
                <c:pt idx="88">
                  <c:v>0.33954131816781924</c:v>
                </c:pt>
                <c:pt idx="89">
                  <c:v>0.33762839411114604</c:v>
                </c:pt>
                <c:pt idx="90">
                  <c:v>0.37076476282671833</c:v>
                </c:pt>
                <c:pt idx="91">
                  <c:v>0.37076476282671833</c:v>
                </c:pt>
                <c:pt idx="92">
                  <c:v>0.37076476282671833</c:v>
                </c:pt>
                <c:pt idx="93">
                  <c:v>0.37076476282671827</c:v>
                </c:pt>
                <c:pt idx="94">
                  <c:v>0.37076476282671827</c:v>
                </c:pt>
                <c:pt idx="95">
                  <c:v>0.37076476282671833</c:v>
                </c:pt>
                <c:pt idx="96">
                  <c:v>0.37076476282671827</c:v>
                </c:pt>
                <c:pt idx="97">
                  <c:v>0.37076476282671833</c:v>
                </c:pt>
                <c:pt idx="98">
                  <c:v>0.37076476282671833</c:v>
                </c:pt>
                <c:pt idx="99">
                  <c:v>0.37076476282671833</c:v>
                </c:pt>
                <c:pt idx="100">
                  <c:v>0.37076476282671839</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347.15068191806546</c:v>
                </c:pt>
                <c:pt idx="45">
                  <c:v>339.43622231988616</c:v>
                </c:pt>
                <c:pt idx="46">
                  <c:v>332.05717400858424</c:v>
                </c:pt>
                <c:pt idx="47">
                  <c:v>324.99212775308251</c:v>
                </c:pt>
                <c:pt idx="48">
                  <c:v>318.22145842489323</c:v>
                </c:pt>
                <c:pt idx="49">
                  <c:v>311.72714294683431</c:v>
                </c:pt>
                <c:pt idx="50">
                  <c:v>305.49260008789759</c:v>
                </c:pt>
                <c:pt idx="51">
                  <c:v>299.50254910578195</c:v>
                </c:pt>
                <c:pt idx="52">
                  <c:v>293.74288469990148</c:v>
                </c:pt>
                <c:pt idx="53">
                  <c:v>288.20056612065804</c:v>
                </c:pt>
                <c:pt idx="54">
                  <c:v>282.86351859990509</c:v>
                </c:pt>
                <c:pt idx="55">
                  <c:v>277.72054553445236</c:v>
                </c:pt>
                <c:pt idx="56">
                  <c:v>272.76125007847992</c:v>
                </c:pt>
                <c:pt idx="57">
                  <c:v>267.97596498938378</c:v>
                </c:pt>
                <c:pt idx="58">
                  <c:v>263.35568973094627</c:v>
                </c:pt>
                <c:pt idx="59">
                  <c:v>258.89203397279459</c:v>
                </c:pt>
                <c:pt idx="60">
                  <c:v>254.57716673991465</c:v>
                </c:pt>
                <c:pt idx="61">
                  <c:v>250.40377056385049</c:v>
                </c:pt>
                <c:pt idx="62">
                  <c:v>246.36500007088515</c:v>
                </c:pt>
                <c:pt idx="63">
                  <c:v>242.45444451420445</c:v>
                </c:pt>
                <c:pt idx="64">
                  <c:v>238.66609381867002</c:v>
                </c:pt>
                <c:pt idx="65">
                  <c:v>234.99430775992121</c:v>
                </c:pt>
                <c:pt idx="66">
                  <c:v>231.43378794537688</c:v>
                </c:pt>
                <c:pt idx="67">
                  <c:v>227.97955230440115</c:v>
                </c:pt>
                <c:pt idx="68">
                  <c:v>224.62691182933642</c:v>
                </c:pt>
                <c:pt idx="69">
                  <c:v>221.37144933905626</c:v>
                </c:pt>
                <c:pt idx="70">
                  <c:v>218.20900006278399</c:v>
                </c:pt>
                <c:pt idx="71">
                  <c:v>215.13563386471662</c:v>
                </c:pt>
                <c:pt idx="72">
                  <c:v>212.14763894992888</c:v>
                </c:pt>
                <c:pt idx="73">
                  <c:v>209.2415069095189</c:v>
                </c:pt>
                <c:pt idx="74">
                  <c:v>206.41391897830925</c:v>
                </c:pt>
                <c:pt idx="75">
                  <c:v>203.66173339193173</c:v>
                </c:pt>
                <c:pt idx="76">
                  <c:v>200.98197374203781</c:v>
                </c:pt>
                <c:pt idx="77">
                  <c:v>198.99313715265509</c:v>
                </c:pt>
                <c:pt idx="78">
                  <c:v>197.83534138574859</c:v>
                </c:pt>
                <c:pt idx="79">
                  <c:v>196.69156082053618</c:v>
                </c:pt>
                <c:pt idx="80">
                  <c:v>195.56154250546746</c:v>
                </c:pt>
                <c:pt idx="81">
                  <c:v>194.445039539741</c:v>
                </c:pt>
                <c:pt idx="82">
                  <c:v>193.34181089345807</c:v>
                </c:pt>
                <c:pt idx="83">
                  <c:v>192.25162123415288</c:v>
                </c:pt>
                <c:pt idx="84">
                  <c:v>191.17424075943794</c:v>
                </c:pt>
                <c:pt idx="85">
                  <c:v>190.10944503551329</c:v>
                </c:pt>
                <c:pt idx="86">
                  <c:v>189.05701484130265</c:v>
                </c:pt>
                <c:pt idx="87">
                  <c:v>188.01673601798751</c:v>
                </c:pt>
                <c:pt idx="88">
                  <c:v>186.98839932372414</c:v>
                </c:pt>
                <c:pt idx="89">
                  <c:v>185.97180029333467</c:v>
                </c:pt>
                <c:pt idx="90">
                  <c:v>184.9667391027757</c:v>
                </c:pt>
                <c:pt idx="91">
                  <c:v>183.9730204381959</c:v>
                </c:pt>
                <c:pt idx="92">
                  <c:v>182.99045336940137</c:v>
                </c:pt>
                <c:pt idx="93">
                  <c:v>182.01885122755732</c:v>
                </c:pt>
                <c:pt idx="94">
                  <c:v>181.05803148696177</c:v>
                </c:pt>
                <c:pt idx="95">
                  <c:v>180.10781565073293</c:v>
                </c:pt>
                <c:pt idx="96">
                  <c:v>179.1680291402615</c:v>
                </c:pt>
                <c:pt idx="97">
                  <c:v>178.2385011882819</c:v>
                </c:pt>
                <c:pt idx="98">
                  <c:v>177.31906473542742</c:v>
                </c:pt>
                <c:pt idx="99">
                  <c:v>176.40955633013547</c:v>
                </c:pt>
                <c:pt idx="100">
                  <c:v>175.50981603177814</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347.87597831697911</c:v>
                </c:pt>
                <c:pt idx="52">
                  <c:v>341.18605565703723</c:v>
                </c:pt>
                <c:pt idx="53">
                  <c:v>334.74858290879121</c:v>
                </c:pt>
                <c:pt idx="54">
                  <c:v>328.54953507714697</c:v>
                </c:pt>
                <c:pt idx="55">
                  <c:v>322.57590716665339</c:v>
                </c:pt>
                <c:pt idx="56">
                  <c:v>316.815623110106</c:v>
                </c:pt>
                <c:pt idx="57">
                  <c:v>311.25745428361296</c:v>
                </c:pt>
                <c:pt idx="58">
                  <c:v>305.89094645113693</c:v>
                </c:pt>
                <c:pt idx="59">
                  <c:v>300.70635413840574</c:v>
                </c:pt>
                <c:pt idx="60">
                  <c:v>295.69458156943233</c:v>
                </c:pt>
                <c:pt idx="61">
                  <c:v>290.84712941255634</c:v>
                </c:pt>
                <c:pt idx="62">
                  <c:v>286.15604668009576</c:v>
                </c:pt>
                <c:pt idx="63">
                  <c:v>281.61388720898316</c:v>
                </c:pt>
                <c:pt idx="64">
                  <c:v>277.21367022134274</c:v>
                </c:pt>
                <c:pt idx="65">
                  <c:v>272.94884452562974</c:v>
                </c:pt>
                <c:pt idx="66">
                  <c:v>268.81325597221115</c:v>
                </c:pt>
                <c:pt idx="67">
                  <c:v>264.80111782337224</c:v>
                </c:pt>
                <c:pt idx="68">
                  <c:v>260.90698373773438</c:v>
                </c:pt>
                <c:pt idx="69">
                  <c:v>257.12572310385423</c:v>
                </c:pt>
                <c:pt idx="70">
                  <c:v>253.45249848808481</c:v>
                </c:pt>
                <c:pt idx="71">
                  <c:v>249.88274498825268</c:v>
                </c:pt>
                <c:pt idx="72">
                  <c:v>246.41215130786026</c:v>
                </c:pt>
                <c:pt idx="73">
                  <c:v>243.03664238583474</c:v>
                </c:pt>
                <c:pt idx="74">
                  <c:v>239.75236343467483</c:v>
                </c:pt>
                <c:pt idx="75">
                  <c:v>236.55566525554582</c:v>
                </c:pt>
                <c:pt idx="76">
                  <c:v>233.44309071270965</c:v>
                </c:pt>
                <c:pt idx="77">
                  <c:v>230.41136226189519</c:v>
                </c:pt>
                <c:pt idx="78">
                  <c:v>227.45737043802481</c:v>
                </c:pt>
                <c:pt idx="79">
                  <c:v>224.5781632172903</c:v>
                </c:pt>
                <c:pt idx="80">
                  <c:v>221.77093617707413</c:v>
                </c:pt>
                <c:pt idx="81">
                  <c:v>219.03302338476459</c:v>
                </c:pt>
                <c:pt idx="82">
                  <c:v>216.36188895324315</c:v>
                </c:pt>
                <c:pt idx="83">
                  <c:v>214.40116250826429</c:v>
                </c:pt>
                <c:pt idx="84">
                  <c:v>213.1540543178829</c:v>
                </c:pt>
                <c:pt idx="85">
                  <c:v>211.92199042789036</c:v>
                </c:pt>
                <c:pt idx="86">
                  <c:v>210.7047002434746</c:v>
                </c:pt>
                <c:pt idx="87">
                  <c:v>209.50191962056473</c:v>
                </c:pt>
                <c:pt idx="88">
                  <c:v>208.31339067474542</c:v>
                </c:pt>
                <c:pt idx="89">
                  <c:v>207.13886159692254</c:v>
                </c:pt>
                <c:pt idx="90">
                  <c:v>205.97808647546589</c:v>
                </c:pt>
                <c:pt idx="91">
                  <c:v>204.83082512456284</c:v>
                </c:pt>
                <c:pt idx="92">
                  <c:v>203.69684291853261</c:v>
                </c:pt>
                <c:pt idx="93">
                  <c:v>202.57591063186078</c:v>
                </c:pt>
                <c:pt idx="94">
                  <c:v>201.46780428472451</c:v>
                </c:pt>
                <c:pt idx="95">
                  <c:v>200.37230499379052</c:v>
                </c:pt>
                <c:pt idx="96">
                  <c:v>199.28919882807665</c:v>
                </c:pt>
                <c:pt idx="97">
                  <c:v>198.21827666967778</c:v>
                </c:pt>
                <c:pt idx="98">
                  <c:v>197.15933407916518</c:v>
                </c:pt>
                <c:pt idx="99">
                  <c:v>196.11217116547851</c:v>
                </c:pt>
                <c:pt idx="100">
                  <c:v>195.07659246013512</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345.79480981280562</c:v>
                </c:pt>
                <c:pt idx="84">
                  <c:v>341.6782049340818</c:v>
                </c:pt>
                <c:pt idx="85">
                  <c:v>337.658461346622</c:v>
                </c:pt>
                <c:pt idx="86">
                  <c:v>333.73220016817288</c:v>
                </c:pt>
                <c:pt idx="87">
                  <c:v>329.89619786738939</c:v>
                </c:pt>
                <c:pt idx="88">
                  <c:v>326.14737743707803</c:v>
                </c:pt>
                <c:pt idx="89">
                  <c:v>322.48280016250419</c:v>
                </c:pt>
                <c:pt idx="90">
                  <c:v>318.89965793847642</c:v>
                </c:pt>
                <c:pt idx="91">
                  <c:v>315.3952660929985</c:v>
                </c:pt>
                <c:pt idx="92">
                  <c:v>311.96705667894429</c:v>
                </c:pt>
                <c:pt idx="93">
                  <c:v>308.61257219852547</c:v>
                </c:pt>
                <c:pt idx="94">
                  <c:v>305.32945972832846</c:v>
                </c:pt>
                <c:pt idx="95">
                  <c:v>302.11546541539866</c:v>
                </c:pt>
                <c:pt idx="96">
                  <c:v>298.96842931732158</c:v>
                </c:pt>
                <c:pt idx="97">
                  <c:v>295.88628056147292</c:v>
                </c:pt>
                <c:pt idx="98">
                  <c:v>292.8670328006416</c:v>
                </c:pt>
                <c:pt idx="99">
                  <c:v>289.90877994406952</c:v>
                </c:pt>
                <c:pt idx="100">
                  <c:v>287.00969214462879</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198.99313715265509</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4.6999999999999993E-3</c:v>
                </c:pt>
                <c:pt idx="1">
                  <c:v>1.3617777777777782E-2</c:v>
                </c:pt>
                <c:pt idx="2">
                  <c:v>2.7235555555555565E-2</c:v>
                </c:pt>
                <c:pt idx="3">
                  <c:v>4.0853333333333346E-2</c:v>
                </c:pt>
                <c:pt idx="4">
                  <c:v>5.447111111111113E-2</c:v>
                </c:pt>
                <c:pt idx="5">
                  <c:v>6.8088888888888921E-2</c:v>
                </c:pt>
                <c:pt idx="6">
                  <c:v>8.1913362333811898E-2</c:v>
                </c:pt>
                <c:pt idx="7">
                  <c:v>0.10322263408725417</c:v>
                </c:pt>
                <c:pt idx="8">
                  <c:v>0.12611387144974309</c:v>
                </c:pt>
                <c:pt idx="9">
                  <c:v>0.15048445562516563</c:v>
                </c:pt>
                <c:pt idx="10">
                  <c:v>0.17624949341705973</c:v>
                </c:pt>
                <c:pt idx="11">
                  <c:v>0.20333723099945097</c:v>
                </c:pt>
                <c:pt idx="12">
                  <c:v>0.23168597590411646</c:v>
                </c:pt>
                <c:pt idx="13">
                  <c:v>0.24274998569630354</c:v>
                </c:pt>
                <c:pt idx="14">
                  <c:v>0.25191356542362792</c:v>
                </c:pt>
                <c:pt idx="15">
                  <c:v>0.26075531314497374</c:v>
                </c:pt>
                <c:pt idx="16">
                  <c:v>0.26930692939882223</c:v>
                </c:pt>
                <c:pt idx="17">
                  <c:v>0.27759522890552552</c:v>
                </c:pt>
                <c:pt idx="18">
                  <c:v>0.28564313399765101</c:v>
                </c:pt>
                <c:pt idx="19">
                  <c:v>0.29347042251117728</c:v>
                </c:pt>
                <c:pt idx="20">
                  <c:v>0.30109430047375157</c:v>
                </c:pt>
                <c:pt idx="21">
                  <c:v>0.3085298472865578</c:v>
                </c:pt>
                <c:pt idx="22">
                  <c:v>0.31579036647047287</c:v>
                </c:pt>
                <c:pt idx="23">
                  <c:v>0.32288766536435615</c:v>
                </c:pt>
                <c:pt idx="24">
                  <c:v>0.32983228061142428</c:v>
                </c:pt>
                <c:pt idx="25">
                  <c:v>0.33663366174852782</c:v>
                </c:pt>
                <c:pt idx="26">
                  <c:v>0.3433003220375872</c:v>
                </c:pt>
                <c:pt idx="27">
                  <c:v>0.34983996341184348</c:v>
                </c:pt>
                <c:pt idx="28">
                  <c:v>0.35625958076785647</c:v>
                </c:pt>
                <c:pt idx="29">
                  <c:v>0.36256554962899851</c:v>
                </c:pt>
                <c:pt idx="30">
                  <c:v>0.36876370031046524</c:v>
                </c:pt>
                <c:pt idx="31">
                  <c:v>0.37485938104248578</c:v>
                </c:pt>
                <c:pt idx="32">
                  <c:v>0.38085751199686801</c:v>
                </c:pt>
                <c:pt idx="33">
                  <c:v>0.38676263176958209</c:v>
                </c:pt>
                <c:pt idx="34">
                  <c:v>0.39257893756825801</c:v>
                </c:pt>
                <c:pt idx="35">
                  <c:v>0.39831032011625195</c:v>
                </c:pt>
                <c:pt idx="36">
                  <c:v>0.40396039409823337</c:v>
                </c:pt>
                <c:pt idx="37">
                  <c:v>0.40953252482420593</c:v>
                </c:pt>
                <c:pt idx="38">
                  <c:v>0.41502985167066936</c:v>
                </c:pt>
                <c:pt idx="39">
                  <c:v>0.42045530876261589</c:v>
                </c:pt>
                <c:pt idx="40">
                  <c:v>0.4258116432832193</c:v>
                </c:pt>
                <c:pt idx="41">
                  <c:v>0.43110143173555387</c:v>
                </c:pt>
                <c:pt idx="42">
                  <c:v>0.43632709442954992</c:v>
                </c:pt>
                <c:pt idx="43">
                  <c:v>0.44149090842532901</c:v>
                </c:pt>
                <c:pt idx="44">
                  <c:v>0.44659501912931265</c:v>
                </c:pt>
                <c:pt idx="45">
                  <c:v>0.45164145071062733</c:v>
                </c:pt>
                <c:pt idx="46">
                  <c:v>0.45663211548125793</c:v>
                </c:pt>
                <c:pt idx="47">
                  <c:v>0.4615688223632286</c:v>
                </c:pt>
                <c:pt idx="48">
                  <c:v>0.46645328454912466</c:v>
                </c:pt>
                <c:pt idx="49">
                  <c:v>0.4712871264479388</c:v>
                </c:pt>
                <c:pt idx="50">
                  <c:v>0.47607188999608502</c:v>
                </c:pt>
                <c:pt idx="51">
                  <c:v>0.47789118661105817</c:v>
                </c:pt>
                <c:pt idx="52">
                  <c:v>0.4732737721744229</c:v>
                </c:pt>
                <c:pt idx="53">
                  <c:v>0.46878766360923324</c:v>
                </c:pt>
                <c:pt idx="54">
                  <c:v>0.46442675334993655</c:v>
                </c:pt>
                <c:pt idx="55">
                  <c:v>0.46018532429420184</c:v>
                </c:pt>
                <c:pt idx="56">
                  <c:v>0.45605801828328646</c:v>
                </c:pt>
                <c:pt idx="57">
                  <c:v>0.45203980763743712</c:v>
                </c:pt>
                <c:pt idx="58">
                  <c:v>0.44812596940243915</c:v>
                </c:pt>
                <c:pt idx="59">
                  <c:v>0.44431206200732376</c:v>
                </c:pt>
                <c:pt idx="60">
                  <c:v>0.44059390407091042</c:v>
                </c:pt>
                <c:pt idx="61">
                  <c:v>0.43696755512724494</c:v>
                </c:pt>
                <c:pt idx="62">
                  <c:v>0.43342929806792924</c:v>
                </c:pt>
                <c:pt idx="63">
                  <c:v>0.42997562312348037</c:v>
                </c:pt>
                <c:pt idx="64">
                  <c:v>0.4266032132267859</c:v>
                </c:pt>
                <c:pt idx="65">
                  <c:v>0.42330893061990305</c:v>
                </c:pt>
                <c:pt idx="66">
                  <c:v>0.42008980458127426</c:v>
                </c:pt>
                <c:pt idx="67">
                  <c:v>0.41694302016424678</c:v>
                </c:pt>
                <c:pt idx="68">
                  <c:v>0.41386590784986627</c:v>
                </c:pt>
                <c:pt idx="69">
                  <c:v>0.41085593402749554</c:v>
                </c:pt>
                <c:pt idx="70">
                  <c:v>0.4079106922261081</c:v>
                </c:pt>
                <c:pt idx="71">
                  <c:v>0.40502789502728892</c:v>
                </c:pt>
                <c:pt idx="72">
                  <c:v>0.4022053665981748</c:v>
                </c:pt>
                <c:pt idx="73">
                  <c:v>0.39944103578894813</c:v>
                </c:pt>
                <c:pt idx="74">
                  <c:v>0.39673292974511942</c:v>
                </c:pt>
                <c:pt idx="75">
                  <c:v>0.39407916798983073</c:v>
                </c:pt>
                <c:pt idx="76">
                  <c:v>0.3914779569358513</c:v>
                </c:pt>
                <c:pt idx="77">
                  <c:v>0.38892758479086686</c:v>
                </c:pt>
                <c:pt idx="78">
                  <c:v>0.38642641682318379</c:v>
                </c:pt>
                <c:pt idx="79">
                  <c:v>0.38397289095809728</c:v>
                </c:pt>
                <c:pt idx="80">
                  <c:v>0.38156551367797231</c:v>
                </c:pt>
                <c:pt idx="81">
                  <c:v>0.37920285620158756</c:v>
                </c:pt>
                <c:pt idx="82">
                  <c:v>0.37688355092053705</c:v>
                </c:pt>
                <c:pt idx="83">
                  <c:v>0.37573848029314155</c:v>
                </c:pt>
                <c:pt idx="84">
                  <c:v>0.37579650186975466</c:v>
                </c:pt>
                <c:pt idx="85">
                  <c:v>0.37584171370012676</c:v>
                </c:pt>
                <c:pt idx="86">
                  <c:v>0.375874567806256</c:v>
                </c:pt>
                <c:pt idx="87">
                  <c:v>0.37589549899195224</c:v>
                </c:pt>
                <c:pt idx="88">
                  <c:v>0.37590492561076938</c:v>
                </c:pt>
                <c:pt idx="89">
                  <c:v>0.37590325029369814</c:v>
                </c:pt>
                <c:pt idx="90">
                  <c:v>0.3758908606390764</c:v>
                </c:pt>
                <c:pt idx="91">
                  <c:v>0.37586812986699336</c:v>
                </c:pt>
                <c:pt idx="92">
                  <c:v>0.37583541744031418</c:v>
                </c:pt>
                <c:pt idx="93">
                  <c:v>0.37579306965430098</c:v>
                </c:pt>
                <c:pt idx="94">
                  <c:v>0.37574142019667184</c:v>
                </c:pt>
                <c:pt idx="95">
                  <c:v>0.37568079067981924</c:v>
                </c:pt>
                <c:pt idx="96">
                  <c:v>0.37561149114678921</c:v>
                </c:pt>
                <c:pt idx="97">
                  <c:v>0.37553382055252166</c:v>
                </c:pt>
                <c:pt idx="98">
                  <c:v>0.37544806722175073</c:v>
                </c:pt>
                <c:pt idx="99">
                  <c:v>0.37535450928487674</c:v>
                </c:pt>
                <c:pt idx="100">
                  <c:v>0.37525341509303162</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5.4230769230769228E-3</c:v>
                </c:pt>
                <c:pt idx="1">
                  <c:v>1.5712820512820518E-2</c:v>
                </c:pt>
                <c:pt idx="2">
                  <c:v>3.1425641025641035E-2</c:v>
                </c:pt>
                <c:pt idx="3">
                  <c:v>4.7138461538461553E-2</c:v>
                </c:pt>
                <c:pt idx="4">
                  <c:v>6.285128205128207E-2</c:v>
                </c:pt>
                <c:pt idx="5">
                  <c:v>7.8564102564102595E-2</c:v>
                </c:pt>
                <c:pt idx="6">
                  <c:v>9.451541807747528E-2</c:v>
                </c:pt>
                <c:pt idx="7">
                  <c:v>0.11910303933144713</c:v>
                </c:pt>
                <c:pt idx="8">
                  <c:v>0.14551600551893434</c:v>
                </c:pt>
                <c:pt idx="9">
                  <c:v>0.17363591033672954</c:v>
                </c:pt>
                <c:pt idx="10">
                  <c:v>0.20336480009660737</c:v>
                </c:pt>
                <c:pt idx="11">
                  <c:v>0.23461988192244346</c:v>
                </c:pt>
                <c:pt idx="12">
                  <c:v>0.26732997219705745</c:v>
                </c:pt>
                <c:pt idx="13">
                  <c:v>0.28009613734188871</c:v>
                </c:pt>
                <c:pt idx="14">
                  <c:v>0.29066949856572449</c:v>
                </c:pt>
                <c:pt idx="15">
                  <c:v>0.30087151516727739</c:v>
                </c:pt>
                <c:pt idx="16">
                  <c:v>0.31073876469094874</c:v>
                </c:pt>
                <c:pt idx="17">
                  <c:v>0.32030218719868325</c:v>
                </c:pt>
                <c:pt idx="18">
                  <c:v>0.32958823153575117</c:v>
                </c:pt>
                <c:pt idx="19">
                  <c:v>0.33861971828212767</c:v>
                </c:pt>
                <c:pt idx="20">
                  <c:v>0.34741650054663648</c:v>
                </c:pt>
                <c:pt idx="21">
                  <c:v>0.35599597763833585</c:v>
                </c:pt>
                <c:pt idx="22">
                  <c:v>0.36437349977362254</c:v>
                </c:pt>
                <c:pt idx="23">
                  <c:v>0.3725626908050263</c:v>
                </c:pt>
                <c:pt idx="24">
                  <c:v>0.38057570839779725</c:v>
                </c:pt>
                <c:pt idx="25">
                  <c:v>0.38842345586368593</c:v>
                </c:pt>
                <c:pt idx="26">
                  <c:v>0.39611575619721601</c:v>
                </c:pt>
                <c:pt idx="27">
                  <c:v>0.40366149624443476</c:v>
                </c:pt>
                <c:pt idx="28">
                  <c:v>0.41106874703983448</c:v>
                </c:pt>
                <c:pt idx="29">
                  <c:v>0.41834486495653672</c:v>
                </c:pt>
                <c:pt idx="30">
                  <c:v>0.42549657728130602</c:v>
                </c:pt>
                <c:pt idx="31">
                  <c:v>0.43253005504902209</c:v>
                </c:pt>
                <c:pt idx="32">
                  <c:v>0.43945097538100153</c:v>
                </c:pt>
                <c:pt idx="33">
                  <c:v>0.44626457511874862</c:v>
                </c:pt>
                <c:pt idx="34">
                  <c:v>0.45297569719414382</c:v>
                </c:pt>
                <c:pt idx="35">
                  <c:v>0.45958883090336755</c:v>
                </c:pt>
                <c:pt idx="36">
                  <c:v>0.46610814703642306</c:v>
                </c:pt>
                <c:pt idx="37">
                  <c:v>0.47253752864331444</c:v>
                </c:pt>
                <c:pt idx="38">
                  <c:v>0.47888059808154149</c:v>
                </c:pt>
                <c:pt idx="39">
                  <c:v>0.48514074087994136</c:v>
                </c:pt>
                <c:pt idx="40">
                  <c:v>0.49132112686525303</c:v>
                </c:pt>
                <c:pt idx="41">
                  <c:v>0.49742472892563899</c:v>
                </c:pt>
                <c:pt idx="42">
                  <c:v>0.50345433972640374</c:v>
                </c:pt>
                <c:pt idx="43">
                  <c:v>0.50941258664461031</c:v>
                </c:pt>
                <c:pt idx="44">
                  <c:v>0.51110691900643646</c:v>
                </c:pt>
                <c:pt idx="45">
                  <c:v>0.5053960479306211</c:v>
                </c:pt>
                <c:pt idx="46">
                  <c:v>0.49987242800527915</c:v>
                </c:pt>
                <c:pt idx="47">
                  <c:v>0.49452604511311071</c:v>
                </c:pt>
                <c:pt idx="48">
                  <c:v>0.54096045197740106</c:v>
                </c:pt>
                <c:pt idx="49">
                  <c:v>0.54096045197740128</c:v>
                </c:pt>
                <c:pt idx="50">
                  <c:v>0.54096045197740106</c:v>
                </c:pt>
                <c:pt idx="51">
                  <c:v>0.54096045197740117</c:v>
                </c:pt>
                <c:pt idx="52">
                  <c:v>0.54096045197740117</c:v>
                </c:pt>
                <c:pt idx="53">
                  <c:v>0.54096045197740095</c:v>
                </c:pt>
                <c:pt idx="54">
                  <c:v>0.54096045197740106</c:v>
                </c:pt>
                <c:pt idx="55">
                  <c:v>0.54096045197740117</c:v>
                </c:pt>
                <c:pt idx="56">
                  <c:v>0.54096045197740117</c:v>
                </c:pt>
                <c:pt idx="57">
                  <c:v>0.54096045197740106</c:v>
                </c:pt>
                <c:pt idx="58">
                  <c:v>0.54096045197740117</c:v>
                </c:pt>
                <c:pt idx="59">
                  <c:v>0.54096045197740117</c:v>
                </c:pt>
                <c:pt idx="60">
                  <c:v>0.54096045197740117</c:v>
                </c:pt>
                <c:pt idx="61">
                  <c:v>0.54096045197740117</c:v>
                </c:pt>
                <c:pt idx="62">
                  <c:v>0.54096045197740106</c:v>
                </c:pt>
                <c:pt idx="63">
                  <c:v>0.54096045197740117</c:v>
                </c:pt>
                <c:pt idx="64">
                  <c:v>0.54096045197740117</c:v>
                </c:pt>
                <c:pt idx="65">
                  <c:v>0.54096045197740117</c:v>
                </c:pt>
                <c:pt idx="66">
                  <c:v>0.54096045197740117</c:v>
                </c:pt>
                <c:pt idx="67">
                  <c:v>0.54096045197740106</c:v>
                </c:pt>
                <c:pt idx="68">
                  <c:v>0.54096045197740117</c:v>
                </c:pt>
                <c:pt idx="69">
                  <c:v>0.54096045197740117</c:v>
                </c:pt>
                <c:pt idx="70">
                  <c:v>0.54096045197740117</c:v>
                </c:pt>
                <c:pt idx="71">
                  <c:v>0.54096045197740117</c:v>
                </c:pt>
                <c:pt idx="72">
                  <c:v>0.54096045197740117</c:v>
                </c:pt>
                <c:pt idx="73">
                  <c:v>0.54096045197740117</c:v>
                </c:pt>
                <c:pt idx="74">
                  <c:v>0.54096045197740117</c:v>
                </c:pt>
                <c:pt idx="75">
                  <c:v>0.54096045197740117</c:v>
                </c:pt>
                <c:pt idx="76">
                  <c:v>0.54096045197740106</c:v>
                </c:pt>
                <c:pt idx="77">
                  <c:v>0.53957754497162247</c:v>
                </c:pt>
                <c:pt idx="78">
                  <c:v>0.53643813721904898</c:v>
                </c:pt>
                <c:pt idx="79">
                  <c:v>0.5333367322249154</c:v>
                </c:pt>
                <c:pt idx="80">
                  <c:v>0.53027264410136365</c:v>
                </c:pt>
                <c:pt idx="81">
                  <c:v>0.52724520336737457</c:v>
                </c:pt>
                <c:pt idx="82">
                  <c:v>0.52425375646110739</c:v>
                </c:pt>
                <c:pt idx="83">
                  <c:v>0.52129766526952992</c:v>
                </c:pt>
                <c:pt idx="84">
                  <c:v>0.51837630667462975</c:v>
                </c:pt>
                <c:pt idx="85">
                  <c:v>0.5154890721155263</c:v>
                </c:pt>
                <c:pt idx="86">
                  <c:v>0.51263536716583979</c:v>
                </c:pt>
                <c:pt idx="87">
                  <c:v>0.50981461112569681</c:v>
                </c:pt>
                <c:pt idx="88">
                  <c:v>0.50702623662779045</c:v>
                </c:pt>
                <c:pt idx="89">
                  <c:v>0.50426968925692661</c:v>
                </c:pt>
                <c:pt idx="90">
                  <c:v>0.50154442718252645</c:v>
                </c:pt>
                <c:pt idx="91">
                  <c:v>0.49884992080356966</c:v>
                </c:pt>
                <c:pt idx="92">
                  <c:v>0.49618565240549212</c:v>
                </c:pt>
                <c:pt idx="93">
                  <c:v>0.49355111582856875</c:v>
                </c:pt>
                <c:pt idx="94">
                  <c:v>0.49094581614733862</c:v>
                </c:pt>
                <c:pt idx="95">
                  <c:v>0.48836926936064123</c:v>
                </c:pt>
                <c:pt idx="96">
                  <c:v>0.48582100209186285</c:v>
                </c:pt>
                <c:pt idx="97">
                  <c:v>0.48330055129899507</c:v>
                </c:pt>
                <c:pt idx="98">
                  <c:v>0.48080746399413971</c:v>
                </c:pt>
                <c:pt idx="99">
                  <c:v>0.47834129697209804</c:v>
                </c:pt>
                <c:pt idx="100">
                  <c:v>0.47590161654770602</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2.7115384615384614E-3</c:v>
                </c:pt>
                <c:pt idx="1">
                  <c:v>7.8564102564102588E-3</c:v>
                </c:pt>
                <c:pt idx="2">
                  <c:v>1.5712820512820518E-2</c:v>
                </c:pt>
                <c:pt idx="3">
                  <c:v>2.3569230769230776E-2</c:v>
                </c:pt>
                <c:pt idx="4">
                  <c:v>3.1425641025641035E-2</c:v>
                </c:pt>
                <c:pt idx="5">
                  <c:v>3.9282051282051297E-2</c:v>
                </c:pt>
                <c:pt idx="6">
                  <c:v>4.725770903873764E-2</c:v>
                </c:pt>
                <c:pt idx="7">
                  <c:v>5.9551519665723564E-2</c:v>
                </c:pt>
                <c:pt idx="8">
                  <c:v>7.2758002759467172E-2</c:v>
                </c:pt>
                <c:pt idx="9">
                  <c:v>8.6817955168364769E-2</c:v>
                </c:pt>
                <c:pt idx="10">
                  <c:v>0.10168240004830369</c:v>
                </c:pt>
                <c:pt idx="11">
                  <c:v>0.11730994096122173</c:v>
                </c:pt>
                <c:pt idx="12">
                  <c:v>0.13366498609852873</c:v>
                </c:pt>
                <c:pt idx="13">
                  <c:v>0.14004806867094435</c:v>
                </c:pt>
                <c:pt idx="14">
                  <c:v>0.14533474928286225</c:v>
                </c:pt>
                <c:pt idx="15">
                  <c:v>0.1504357575836387</c:v>
                </c:pt>
                <c:pt idx="16">
                  <c:v>0.15536938234547437</c:v>
                </c:pt>
                <c:pt idx="17">
                  <c:v>0.16015109359934163</c:v>
                </c:pt>
                <c:pt idx="18">
                  <c:v>0.16479411576787559</c:v>
                </c:pt>
                <c:pt idx="19">
                  <c:v>0.16930985914106383</c:v>
                </c:pt>
                <c:pt idx="20">
                  <c:v>0.17370825027331824</c:v>
                </c:pt>
                <c:pt idx="21">
                  <c:v>0.17799798881916792</c:v>
                </c:pt>
                <c:pt idx="22">
                  <c:v>0.18218674988681127</c:v>
                </c:pt>
                <c:pt idx="23">
                  <c:v>0.18628134540251315</c:v>
                </c:pt>
                <c:pt idx="24">
                  <c:v>0.19028785419889863</c:v>
                </c:pt>
                <c:pt idx="25">
                  <c:v>0.19421172793184296</c:v>
                </c:pt>
                <c:pt idx="26">
                  <c:v>0.198057878098608</c:v>
                </c:pt>
                <c:pt idx="27">
                  <c:v>0.20183074812221738</c:v>
                </c:pt>
                <c:pt idx="28">
                  <c:v>0.20553437351991724</c:v>
                </c:pt>
                <c:pt idx="29">
                  <c:v>0.20917243247826836</c:v>
                </c:pt>
                <c:pt idx="30">
                  <c:v>0.21274828864065301</c:v>
                </c:pt>
                <c:pt idx="31">
                  <c:v>0.21626502752451104</c:v>
                </c:pt>
                <c:pt idx="32">
                  <c:v>0.21972548769050076</c:v>
                </c:pt>
                <c:pt idx="33">
                  <c:v>0.22313228755937431</c:v>
                </c:pt>
                <c:pt idx="34">
                  <c:v>0.22648784859707191</c:v>
                </c:pt>
                <c:pt idx="35">
                  <c:v>0.22979441545168378</c:v>
                </c:pt>
                <c:pt idx="36">
                  <c:v>0.23305407351821153</c:v>
                </c:pt>
                <c:pt idx="37">
                  <c:v>0.23626876432165722</c:v>
                </c:pt>
                <c:pt idx="38">
                  <c:v>0.23944029904077074</c:v>
                </c:pt>
                <c:pt idx="39">
                  <c:v>0.24257037043997068</c:v>
                </c:pt>
                <c:pt idx="40">
                  <c:v>0.24566056343262652</c:v>
                </c:pt>
                <c:pt idx="41">
                  <c:v>0.2487123644628195</c:v>
                </c:pt>
                <c:pt idx="42">
                  <c:v>0.25172716986320187</c:v>
                </c:pt>
                <c:pt idx="43">
                  <c:v>0.25470629332230516</c:v>
                </c:pt>
                <c:pt idx="44">
                  <c:v>0.25765097257460345</c:v>
                </c:pt>
                <c:pt idx="45">
                  <c:v>0.26056237540997729</c:v>
                </c:pt>
                <c:pt idx="46">
                  <c:v>0.26344160508534109</c:v>
                </c:pt>
                <c:pt idx="47">
                  <c:v>0.26628970520955497</c:v>
                </c:pt>
                <c:pt idx="48">
                  <c:v>0.26910766416295651</c:v>
                </c:pt>
                <c:pt idx="49">
                  <c:v>0.27189641910458012</c:v>
                </c:pt>
                <c:pt idx="50">
                  <c:v>0.27465685961312597</c:v>
                </c:pt>
                <c:pt idx="51">
                  <c:v>0.27738983100177855</c:v>
                </c:pt>
                <c:pt idx="52">
                  <c:v>0.28009613734188871</c:v>
                </c:pt>
                <c:pt idx="53">
                  <c:v>0.28277654422617349</c:v>
                </c:pt>
                <c:pt idx="54">
                  <c:v>0.28543178129834795</c:v>
                </c:pt>
                <c:pt idx="55">
                  <c:v>0.28806254457287361</c:v>
                </c:pt>
                <c:pt idx="56">
                  <c:v>0.29066949856572449</c:v>
                </c:pt>
                <c:pt idx="57">
                  <c:v>0.29325327825465242</c:v>
                </c:pt>
                <c:pt idx="58">
                  <c:v>0.29581449088533757</c:v>
                </c:pt>
                <c:pt idx="59">
                  <c:v>0.29835371763797808</c:v>
                </c:pt>
                <c:pt idx="60">
                  <c:v>0.30087151516727739</c:v>
                </c:pt>
                <c:pt idx="61">
                  <c:v>0.30336841702738959</c:v>
                </c:pt>
                <c:pt idx="62">
                  <c:v>0.30584493499215415</c:v>
                </c:pt>
                <c:pt idx="63">
                  <c:v>0.30830156027987582</c:v>
                </c:pt>
                <c:pt idx="64">
                  <c:v>0.31073876469094874</c:v>
                </c:pt>
                <c:pt idx="65">
                  <c:v>0.31315700166579014</c:v>
                </c:pt>
                <c:pt idx="66">
                  <c:v>0.31555670726980056</c:v>
                </c:pt>
                <c:pt idx="67">
                  <c:v>0.31793830111140975</c:v>
                </c:pt>
                <c:pt idx="68">
                  <c:v>0.32030218719868325</c:v>
                </c:pt>
                <c:pt idx="69">
                  <c:v>0.32264875473943988</c:v>
                </c:pt>
                <c:pt idx="70">
                  <c:v>0.3249783788893687</c:v>
                </c:pt>
                <c:pt idx="71">
                  <c:v>0.3272914214522174</c:v>
                </c:pt>
                <c:pt idx="72">
                  <c:v>0.32958823153575117</c:v>
                </c:pt>
                <c:pt idx="73">
                  <c:v>0.33186914616685104</c:v>
                </c:pt>
                <c:pt idx="74">
                  <c:v>0.33413449086882013</c:v>
                </c:pt>
                <c:pt idx="75">
                  <c:v>0.33638458020369572</c:v>
                </c:pt>
                <c:pt idx="76">
                  <c:v>0.33861971828212767</c:v>
                </c:pt>
                <c:pt idx="77">
                  <c:v>0.34084019924316195</c:v>
                </c:pt>
                <c:pt idx="78">
                  <c:v>0.34304630770607225</c:v>
                </c:pt>
                <c:pt idx="79">
                  <c:v>0.34523831919620418</c:v>
                </c:pt>
                <c:pt idx="80">
                  <c:v>0.34741650054663648</c:v>
                </c:pt>
                <c:pt idx="81">
                  <c:v>0.34958111027731736</c:v>
                </c:pt>
                <c:pt idx="82">
                  <c:v>0.35173239895319958</c:v>
                </c:pt>
                <c:pt idx="83">
                  <c:v>0.34961891462363215</c:v>
                </c:pt>
                <c:pt idx="84">
                  <c:v>0.34753161886634326</c:v>
                </c:pt>
                <c:pt idx="85">
                  <c:v>0.34548126693738818</c:v>
                </c:pt>
                <c:pt idx="86">
                  <c:v>0.34346678173554346</c:v>
                </c:pt>
                <c:pt idx="87">
                  <c:v>0.34148712961722427</c:v>
                </c:pt>
                <c:pt idx="88">
                  <c:v>0.33954131816781924</c:v>
                </c:pt>
                <c:pt idx="89">
                  <c:v>0.33762839411114604</c:v>
                </c:pt>
                <c:pt idx="90">
                  <c:v>0.37076476282671833</c:v>
                </c:pt>
                <c:pt idx="91">
                  <c:v>0.37076476282671833</c:v>
                </c:pt>
                <c:pt idx="92">
                  <c:v>0.37076476282671833</c:v>
                </c:pt>
                <c:pt idx="93">
                  <c:v>0.37076476282671827</c:v>
                </c:pt>
                <c:pt idx="94">
                  <c:v>0.37076476282671827</c:v>
                </c:pt>
                <c:pt idx="95">
                  <c:v>0.37076476282671833</c:v>
                </c:pt>
                <c:pt idx="96">
                  <c:v>0.37076476282671827</c:v>
                </c:pt>
                <c:pt idx="97">
                  <c:v>0.37076476282671833</c:v>
                </c:pt>
                <c:pt idx="98">
                  <c:v>0.37076476282671833</c:v>
                </c:pt>
                <c:pt idx="99">
                  <c:v>0.37076476282671833</c:v>
                </c:pt>
                <c:pt idx="100">
                  <c:v>0.37076476282671839</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0.15</c:v>
                </c:pt>
                <c:pt idx="1">
                  <c:v>0.15</c:v>
                </c:pt>
                <c:pt idx="2">
                  <c:v>0.15</c:v>
                </c:pt>
                <c:pt idx="3">
                  <c:v>0.15</c:v>
                </c:pt>
                <c:pt idx="4">
                  <c:v>0.15</c:v>
                </c:pt>
                <c:pt idx="5">
                  <c:v>0.15</c:v>
                </c:pt>
                <c:pt idx="6">
                  <c:v>0.15037945924533022</c:v>
                </c:pt>
                <c:pt idx="7">
                  <c:v>0.16242838028929629</c:v>
                </c:pt>
                <c:pt idx="8">
                  <c:v>0.17364324255176353</c:v>
                </c:pt>
                <c:pt idx="9">
                  <c:v>0.18417647147335867</c:v>
                </c:pt>
                <c:pt idx="10">
                  <c:v>0.19413904708961366</c:v>
                </c:pt>
                <c:pt idx="11">
                  <c:v>0.20361475036290852</c:v>
                </c:pt>
                <c:pt idx="12">
                  <c:v>0.21266867076707813</c:v>
                </c:pt>
                <c:pt idx="13">
                  <c:v>0.22135257054374183</c:v>
                </c:pt>
                <c:pt idx="14">
                  <c:v>0.22970841831941755</c:v>
                </c:pt>
                <c:pt idx="15">
                  <c:v>0.2377708022598545</c:v>
                </c:pt>
                <c:pt idx="16">
                  <c:v>0.2455686286311449</c:v>
                </c:pt>
                <c:pt idx="17">
                  <c:v>0.25312634854607191</c:v>
                </c:pt>
                <c:pt idx="18">
                  <c:v>0.26046486382764528</c:v>
                </c:pt>
                <c:pt idx="19">
                  <c:v>0.26760220897675741</c:v>
                </c:pt>
                <c:pt idx="20">
                  <c:v>0.27455407338032062</c:v>
                </c:pt>
                <c:pt idx="21">
                  <c:v>0.28133420725218039</c:v>
                </c:pt>
                <c:pt idx="22">
                  <c:v>0.28795474146243727</c:v>
                </c:pt>
                <c:pt idx="23">
                  <c:v>0.29442644258147982</c:v>
                </c:pt>
                <c:pt idx="24">
                  <c:v>0.30075891849066044</c:v>
                </c:pt>
                <c:pt idx="25">
                  <c:v>0.30696078578893116</c:v>
                </c:pt>
                <c:pt idx="26">
                  <c:v>0.31303980732910691</c:v>
                </c:pt>
                <c:pt idx="27">
                  <c:v>0.31900300615061716</c:v>
                </c:pt>
                <c:pt idx="28">
                  <c:v>0.32485676057859258</c:v>
                </c:pt>
                <c:pt idx="29">
                  <c:v>0.33060688416018102</c:v>
                </c:pt>
                <c:pt idx="30">
                  <c:v>0.33625869329221758</c:v>
                </c:pt>
                <c:pt idx="31">
                  <c:v>0.34181706478038215</c:v>
                </c:pt>
                <c:pt idx="32">
                  <c:v>0.34728648510352705</c:v>
                </c:pt>
                <c:pt idx="33">
                  <c:v>0.35267109279901104</c:v>
                </c:pt>
                <c:pt idx="34">
                  <c:v>0.35797471510783407</c:v>
                </c:pt>
                <c:pt idx="35">
                  <c:v>0.36320089980205345</c:v>
                </c:pt>
                <c:pt idx="36">
                  <c:v>0.36835294294671733</c:v>
                </c:pt>
                <c:pt idx="37">
                  <c:v>0.37343391321356167</c:v>
                </c:pt>
                <c:pt idx="38">
                  <c:v>0.37844667325592951</c:v>
                </c:pt>
                <c:pt idx="39">
                  <c:v>0.38339389856773487</c:v>
                </c:pt>
                <c:pt idx="40">
                  <c:v>0.38827809417922732</c:v>
                </c:pt>
                <c:pt idx="41">
                  <c:v>0.39310160948530748</c:v>
                </c:pt>
                <c:pt idx="42">
                  <c:v>0.39786665145551664</c:v>
                </c:pt>
                <c:pt idx="43">
                  <c:v>0.40257529643647022</c:v>
                </c:pt>
                <c:pt idx="44">
                  <c:v>0.40722950072581704</c:v>
                </c:pt>
                <c:pt idx="45">
                  <c:v>0.41183111007048084</c:v>
                </c:pt>
                <c:pt idx="46">
                  <c:v>0.41638186821999207</c:v>
                </c:pt>
                <c:pt idx="47">
                  <c:v>0.42088342464732098</c:v>
                </c:pt>
                <c:pt idx="48">
                  <c:v>0.4701988351074512</c:v>
                </c:pt>
                <c:pt idx="49">
                  <c:v>0.47999464417218979</c:v>
                </c:pt>
                <c:pt idx="50">
                  <c:v>0.48979045323692832</c:v>
                </c:pt>
                <c:pt idx="51">
                  <c:v>0.49958626230166686</c:v>
                </c:pt>
                <c:pt idx="52">
                  <c:v>0.50938207136640545</c:v>
                </c:pt>
                <c:pt idx="53">
                  <c:v>0.5191778804311441</c:v>
                </c:pt>
                <c:pt idx="54">
                  <c:v>0.52897368949588264</c:v>
                </c:pt>
                <c:pt idx="55">
                  <c:v>0.53876949856062117</c:v>
                </c:pt>
                <c:pt idx="56">
                  <c:v>0.54856530762535982</c:v>
                </c:pt>
                <c:pt idx="57">
                  <c:v>0.55836111669009825</c:v>
                </c:pt>
                <c:pt idx="58">
                  <c:v>0.56815692575483678</c:v>
                </c:pt>
                <c:pt idx="59">
                  <c:v>0.57795273481957543</c:v>
                </c:pt>
                <c:pt idx="60">
                  <c:v>0.58774854388431397</c:v>
                </c:pt>
                <c:pt idx="61">
                  <c:v>0.59754435294905262</c:v>
                </c:pt>
                <c:pt idx="62">
                  <c:v>0.60734016201379115</c:v>
                </c:pt>
                <c:pt idx="63">
                  <c:v>0.61713597107852969</c:v>
                </c:pt>
                <c:pt idx="64">
                  <c:v>0.62693178014326822</c:v>
                </c:pt>
                <c:pt idx="65">
                  <c:v>0.63672758920800687</c:v>
                </c:pt>
                <c:pt idx="66">
                  <c:v>0.64652339827274552</c:v>
                </c:pt>
                <c:pt idx="67">
                  <c:v>0.65631920733748395</c:v>
                </c:pt>
                <c:pt idx="68">
                  <c:v>0.66611501640222259</c:v>
                </c:pt>
                <c:pt idx="69">
                  <c:v>0.67591082546696102</c:v>
                </c:pt>
                <c:pt idx="70">
                  <c:v>0.68570663453169967</c:v>
                </c:pt>
                <c:pt idx="71">
                  <c:v>0.69550244359643809</c:v>
                </c:pt>
                <c:pt idx="72">
                  <c:v>0.70529825266117674</c:v>
                </c:pt>
                <c:pt idx="73">
                  <c:v>0.71509406172591539</c:v>
                </c:pt>
                <c:pt idx="74">
                  <c:v>0.72488987079065381</c:v>
                </c:pt>
                <c:pt idx="75">
                  <c:v>0.73468567985539257</c:v>
                </c:pt>
                <c:pt idx="76">
                  <c:v>0.74448148892013122</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Dual'!$AI$5:$AI$105</c:f>
              <c:numCache>
                <c:formatCode>0.000</c:formatCode>
                <c:ptCount val="101"/>
                <c:pt idx="0">
                  <c:v>0.15</c:v>
                </c:pt>
                <c:pt idx="1">
                  <c:v>0.15</c:v>
                </c:pt>
                <c:pt idx="2">
                  <c:v>0.15</c:v>
                </c:pt>
                <c:pt idx="3">
                  <c:v>0.15</c:v>
                </c:pt>
                <c:pt idx="4">
                  <c:v>0.15</c:v>
                </c:pt>
                <c:pt idx="5">
                  <c:v>0.15</c:v>
                </c:pt>
                <c:pt idx="6">
                  <c:v>0.15037945924533022</c:v>
                </c:pt>
                <c:pt idx="7">
                  <c:v>0.16242838028929629</c:v>
                </c:pt>
                <c:pt idx="8">
                  <c:v>0.17364324255176353</c:v>
                </c:pt>
                <c:pt idx="9">
                  <c:v>0.18417647147335867</c:v>
                </c:pt>
                <c:pt idx="10">
                  <c:v>0.19413904708961366</c:v>
                </c:pt>
                <c:pt idx="11">
                  <c:v>0.20361475036290852</c:v>
                </c:pt>
                <c:pt idx="12">
                  <c:v>0.21266867076707813</c:v>
                </c:pt>
                <c:pt idx="13">
                  <c:v>0.22135257054374183</c:v>
                </c:pt>
                <c:pt idx="14">
                  <c:v>0.22970841831941755</c:v>
                </c:pt>
                <c:pt idx="15">
                  <c:v>0.2377708022598545</c:v>
                </c:pt>
                <c:pt idx="16">
                  <c:v>0.2455686286311449</c:v>
                </c:pt>
                <c:pt idx="17">
                  <c:v>0.25312634854607191</c:v>
                </c:pt>
                <c:pt idx="18">
                  <c:v>0.26046486382764528</c:v>
                </c:pt>
                <c:pt idx="19">
                  <c:v>0.26760220897675741</c:v>
                </c:pt>
                <c:pt idx="20">
                  <c:v>0.27455407338032062</c:v>
                </c:pt>
                <c:pt idx="21">
                  <c:v>0.28133420725218039</c:v>
                </c:pt>
                <c:pt idx="22">
                  <c:v>0.28795474146243727</c:v>
                </c:pt>
                <c:pt idx="23">
                  <c:v>0.29442644258147982</c:v>
                </c:pt>
                <c:pt idx="24">
                  <c:v>0.30075891849066044</c:v>
                </c:pt>
                <c:pt idx="25">
                  <c:v>0.30696078578893116</c:v>
                </c:pt>
                <c:pt idx="26">
                  <c:v>0.31303980732910691</c:v>
                </c:pt>
                <c:pt idx="27">
                  <c:v>0.31900300615061716</c:v>
                </c:pt>
                <c:pt idx="28">
                  <c:v>0.32485676057859258</c:v>
                </c:pt>
                <c:pt idx="29">
                  <c:v>0.33060688416018102</c:v>
                </c:pt>
                <c:pt idx="30">
                  <c:v>0.33625869329221758</c:v>
                </c:pt>
                <c:pt idx="31">
                  <c:v>0.34181706478038215</c:v>
                </c:pt>
                <c:pt idx="32">
                  <c:v>0.34728648510352705</c:v>
                </c:pt>
                <c:pt idx="33">
                  <c:v>0.35267109279901104</c:v>
                </c:pt>
                <c:pt idx="34">
                  <c:v>0.35797471510783407</c:v>
                </c:pt>
                <c:pt idx="35">
                  <c:v>0.36320089980205345</c:v>
                </c:pt>
                <c:pt idx="36">
                  <c:v>0.36835294294671733</c:v>
                </c:pt>
                <c:pt idx="37">
                  <c:v>0.37343391321356167</c:v>
                </c:pt>
                <c:pt idx="38">
                  <c:v>0.37844667325592951</c:v>
                </c:pt>
                <c:pt idx="39">
                  <c:v>0.38339389856773487</c:v>
                </c:pt>
                <c:pt idx="40">
                  <c:v>0.38827809417922732</c:v>
                </c:pt>
                <c:pt idx="41">
                  <c:v>0.39310160948530748</c:v>
                </c:pt>
                <c:pt idx="42">
                  <c:v>0.39786665145551664</c:v>
                </c:pt>
                <c:pt idx="43">
                  <c:v>0.40257529643647022</c:v>
                </c:pt>
                <c:pt idx="44">
                  <c:v>0.40722950072581704</c:v>
                </c:pt>
                <c:pt idx="45">
                  <c:v>0.41183111007048084</c:v>
                </c:pt>
                <c:pt idx="46">
                  <c:v>0.41638186821999207</c:v>
                </c:pt>
                <c:pt idx="47">
                  <c:v>0.42088342464732098</c:v>
                </c:pt>
                <c:pt idx="48">
                  <c:v>0.42533734153415625</c:v>
                </c:pt>
                <c:pt idx="49">
                  <c:v>0.42974510010450356</c:v>
                </c:pt>
                <c:pt idx="50">
                  <c:v>0.43410810637940883</c:v>
                </c:pt>
                <c:pt idx="51">
                  <c:v>0.43842769641618495</c:v>
                </c:pt>
                <c:pt idx="52">
                  <c:v>0.44270514108748366</c:v>
                </c:pt>
                <c:pt idx="53">
                  <c:v>0.4469416504486633</c:v>
                </c:pt>
                <c:pt idx="54">
                  <c:v>0.45113837773599069</c:v>
                </c:pt>
                <c:pt idx="55">
                  <c:v>0.45529642303311341</c:v>
                </c:pt>
                <c:pt idx="56">
                  <c:v>0.45941683663883509</c:v>
                </c:pt>
                <c:pt idx="57">
                  <c:v>0.46350062216540805</c:v>
                </c:pt>
                <c:pt idx="58">
                  <c:v>0.46754873939323877</c:v>
                </c:pt>
                <c:pt idx="59">
                  <c:v>0.47156210690501099</c:v>
                </c:pt>
                <c:pt idx="60">
                  <c:v>0.475541604519709</c:v>
                </c:pt>
                <c:pt idx="61">
                  <c:v>0.47948807554481027</c:v>
                </c:pt>
                <c:pt idx="62">
                  <c:v>0.48340232886297929</c:v>
                </c:pt>
                <c:pt idx="63">
                  <c:v>0.48728514086788888</c:v>
                </c:pt>
                <c:pt idx="64">
                  <c:v>0.49113725726228979</c:v>
                </c:pt>
                <c:pt idx="65">
                  <c:v>0.49495939473012429</c:v>
                </c:pt>
                <c:pt idx="66">
                  <c:v>0.4987522424933018</c:v>
                </c:pt>
                <c:pt idx="67">
                  <c:v>0.50251646376271453</c:v>
                </c:pt>
                <c:pt idx="68">
                  <c:v>0.50625269709214382</c:v>
                </c:pt>
                <c:pt idx="69">
                  <c:v>0.50996155764288376</c:v>
                </c:pt>
                <c:pt idx="70">
                  <c:v>0.51364363836617555</c:v>
                </c:pt>
                <c:pt idx="71">
                  <c:v>0.5172995111098877</c:v>
                </c:pt>
                <c:pt idx="72">
                  <c:v>0.52092972765529055</c:v>
                </c:pt>
                <c:pt idx="73">
                  <c:v>0.52453482068924795</c:v>
                </c:pt>
                <c:pt idx="74">
                  <c:v>0.52811530471667623</c:v>
                </c:pt>
                <c:pt idx="75">
                  <c:v>0.53167167691769535</c:v>
                </c:pt>
                <c:pt idx="76">
                  <c:v>0.53520441795351481</c:v>
                </c:pt>
                <c:pt idx="77">
                  <c:v>0.53871399272475451</c:v>
                </c:pt>
                <c:pt idx="78">
                  <c:v>0.54220085108558536</c:v>
                </c:pt>
                <c:pt idx="79">
                  <c:v>0.54566542851679689</c:v>
                </c:pt>
                <c:pt idx="80">
                  <c:v>0.54910814676064124</c:v>
                </c:pt>
                <c:pt idx="81">
                  <c:v>0.55252941442007608</c:v>
                </c:pt>
                <c:pt idx="82">
                  <c:v>0.55592962752481401</c:v>
                </c:pt>
                <c:pt idx="83">
                  <c:v>0.55930917006639969</c:v>
                </c:pt>
                <c:pt idx="84">
                  <c:v>0.56266841450436078</c:v>
                </c:pt>
                <c:pt idx="85">
                  <c:v>0.56600772224532192</c:v>
                </c:pt>
                <c:pt idx="86">
                  <c:v>0.56932744409682534</c:v>
                </c:pt>
                <c:pt idx="87">
                  <c:v>0.57262792069747182</c:v>
                </c:pt>
                <c:pt idx="88">
                  <c:v>0.57590948292487454</c:v>
                </c:pt>
                <c:pt idx="89">
                  <c:v>0.57917245228280911</c:v>
                </c:pt>
                <c:pt idx="90">
                  <c:v>0.58241714126884092</c:v>
                </c:pt>
                <c:pt idx="91">
                  <c:v>0.58564385372362215</c:v>
                </c:pt>
                <c:pt idx="92">
                  <c:v>0.58885288516295964</c:v>
                </c:pt>
                <c:pt idx="93">
                  <c:v>0.59204452309368427</c:v>
                </c:pt>
                <c:pt idx="94">
                  <c:v>0.59521904731427588</c:v>
                </c:pt>
                <c:pt idx="95">
                  <c:v>0.59837673020113391</c:v>
                </c:pt>
                <c:pt idx="96">
                  <c:v>0.60151783698132089</c:v>
                </c:pt>
                <c:pt idx="97">
                  <c:v>0.60464262599255547</c:v>
                </c:pt>
                <c:pt idx="98">
                  <c:v>0.60775134893117233</c:v>
                </c:pt>
                <c:pt idx="99">
                  <c:v>0.61084425108872542</c:v>
                </c:pt>
                <c:pt idx="100">
                  <c:v>0.61392157157786231</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0.15</c:v>
                </c:pt>
                <c:pt idx="1">
                  <c:v>0.15</c:v>
                </c:pt>
                <c:pt idx="2">
                  <c:v>0.15</c:v>
                </c:pt>
                <c:pt idx="3">
                  <c:v>0.15</c:v>
                </c:pt>
                <c:pt idx="4">
                  <c:v>0.15</c:v>
                </c:pt>
                <c:pt idx="5">
                  <c:v>0.15</c:v>
                </c:pt>
                <c:pt idx="6">
                  <c:v>0.15037945924533022</c:v>
                </c:pt>
                <c:pt idx="7">
                  <c:v>0.16242838028929629</c:v>
                </c:pt>
                <c:pt idx="8">
                  <c:v>0.17364324255176353</c:v>
                </c:pt>
                <c:pt idx="9">
                  <c:v>0.18417647147335867</c:v>
                </c:pt>
                <c:pt idx="10">
                  <c:v>0.19413904708961366</c:v>
                </c:pt>
                <c:pt idx="11">
                  <c:v>0.20361475036290852</c:v>
                </c:pt>
                <c:pt idx="12">
                  <c:v>0.21266867076707813</c:v>
                </c:pt>
                <c:pt idx="13">
                  <c:v>0.22135257054374183</c:v>
                </c:pt>
                <c:pt idx="14">
                  <c:v>0.22970841831941755</c:v>
                </c:pt>
                <c:pt idx="15">
                  <c:v>0.2377708022598545</c:v>
                </c:pt>
                <c:pt idx="16">
                  <c:v>0.2455686286311449</c:v>
                </c:pt>
                <c:pt idx="17">
                  <c:v>0.25312634854607191</c:v>
                </c:pt>
                <c:pt idx="18">
                  <c:v>0.26046486382764528</c:v>
                </c:pt>
                <c:pt idx="19">
                  <c:v>0.26760220897675741</c:v>
                </c:pt>
                <c:pt idx="20">
                  <c:v>0.27455407338032062</c:v>
                </c:pt>
                <c:pt idx="21">
                  <c:v>0.28133420725218039</c:v>
                </c:pt>
                <c:pt idx="22">
                  <c:v>0.28795474146243727</c:v>
                </c:pt>
                <c:pt idx="23">
                  <c:v>0.29442644258147982</c:v>
                </c:pt>
                <c:pt idx="24">
                  <c:v>0.30075891849066044</c:v>
                </c:pt>
                <c:pt idx="25">
                  <c:v>0.30696078578893116</c:v>
                </c:pt>
                <c:pt idx="26">
                  <c:v>0.31303980732910691</c:v>
                </c:pt>
                <c:pt idx="27">
                  <c:v>0.31900300615061716</c:v>
                </c:pt>
                <c:pt idx="28">
                  <c:v>0.32485676057859258</c:v>
                </c:pt>
                <c:pt idx="29">
                  <c:v>0.33060688416018102</c:v>
                </c:pt>
                <c:pt idx="30">
                  <c:v>0.33625869329221758</c:v>
                </c:pt>
                <c:pt idx="31">
                  <c:v>0.34181706478038215</c:v>
                </c:pt>
                <c:pt idx="32">
                  <c:v>0.34728648510352705</c:v>
                </c:pt>
                <c:pt idx="33">
                  <c:v>0.35267109279901104</c:v>
                </c:pt>
                <c:pt idx="34">
                  <c:v>0.35797471510783407</c:v>
                </c:pt>
                <c:pt idx="35">
                  <c:v>0.36320089980205345</c:v>
                </c:pt>
                <c:pt idx="36">
                  <c:v>0.36835294294671733</c:v>
                </c:pt>
                <c:pt idx="37">
                  <c:v>0.37343391321356167</c:v>
                </c:pt>
                <c:pt idx="38">
                  <c:v>0.37844667325592951</c:v>
                </c:pt>
                <c:pt idx="39">
                  <c:v>0.38339389856773487</c:v>
                </c:pt>
                <c:pt idx="40">
                  <c:v>0.38827809417922732</c:v>
                </c:pt>
                <c:pt idx="41">
                  <c:v>0.39310160948530748</c:v>
                </c:pt>
                <c:pt idx="42">
                  <c:v>0.39786665145551664</c:v>
                </c:pt>
                <c:pt idx="43">
                  <c:v>0.40257529643647022</c:v>
                </c:pt>
                <c:pt idx="44">
                  <c:v>0.40722950072581704</c:v>
                </c:pt>
                <c:pt idx="45">
                  <c:v>0.41183111007048084</c:v>
                </c:pt>
                <c:pt idx="46">
                  <c:v>0.41638186821999207</c:v>
                </c:pt>
                <c:pt idx="47">
                  <c:v>0.42088342464732098</c:v>
                </c:pt>
                <c:pt idx="48">
                  <c:v>0.42533734153415625</c:v>
                </c:pt>
                <c:pt idx="49">
                  <c:v>0.42974510010450356</c:v>
                </c:pt>
                <c:pt idx="50">
                  <c:v>0.43410810637940883</c:v>
                </c:pt>
                <c:pt idx="51">
                  <c:v>0.43842769641618495</c:v>
                </c:pt>
                <c:pt idx="52">
                  <c:v>0.44270514108748366</c:v>
                </c:pt>
                <c:pt idx="53">
                  <c:v>0.4469416504486633</c:v>
                </c:pt>
                <c:pt idx="54">
                  <c:v>0.45113837773599069</c:v>
                </c:pt>
                <c:pt idx="55">
                  <c:v>0.45529642303311341</c:v>
                </c:pt>
                <c:pt idx="56">
                  <c:v>0.45941683663883509</c:v>
                </c:pt>
                <c:pt idx="57">
                  <c:v>0.46350062216540805</c:v>
                </c:pt>
                <c:pt idx="58">
                  <c:v>0.46754873939323877</c:v>
                </c:pt>
                <c:pt idx="59">
                  <c:v>0.47156210690501099</c:v>
                </c:pt>
                <c:pt idx="60">
                  <c:v>0.475541604519709</c:v>
                </c:pt>
                <c:pt idx="61">
                  <c:v>0.47948807554481027</c:v>
                </c:pt>
                <c:pt idx="62">
                  <c:v>0.48340232886297929</c:v>
                </c:pt>
                <c:pt idx="63">
                  <c:v>0.48728514086788888</c:v>
                </c:pt>
                <c:pt idx="64">
                  <c:v>0.49113725726228979</c:v>
                </c:pt>
                <c:pt idx="65">
                  <c:v>0.49495939473012429</c:v>
                </c:pt>
                <c:pt idx="66">
                  <c:v>0.4987522424933018</c:v>
                </c:pt>
                <c:pt idx="67">
                  <c:v>0.50251646376271453</c:v>
                </c:pt>
                <c:pt idx="68">
                  <c:v>0.50625269709214382</c:v>
                </c:pt>
                <c:pt idx="69">
                  <c:v>0.50996155764288376</c:v>
                </c:pt>
                <c:pt idx="70">
                  <c:v>0.51364363836617555</c:v>
                </c:pt>
                <c:pt idx="71">
                  <c:v>0.5172995111098877</c:v>
                </c:pt>
                <c:pt idx="72">
                  <c:v>0.52092972765529055</c:v>
                </c:pt>
                <c:pt idx="73">
                  <c:v>0.52453482068924795</c:v>
                </c:pt>
                <c:pt idx="74">
                  <c:v>0.52811530471667623</c:v>
                </c:pt>
                <c:pt idx="75">
                  <c:v>0.53167167691769535</c:v>
                </c:pt>
                <c:pt idx="76">
                  <c:v>0.53520441795351481</c:v>
                </c:pt>
                <c:pt idx="77">
                  <c:v>0.53871399272475451</c:v>
                </c:pt>
                <c:pt idx="78">
                  <c:v>0.54220085108558536</c:v>
                </c:pt>
                <c:pt idx="79">
                  <c:v>0.54566542851679689</c:v>
                </c:pt>
                <c:pt idx="80">
                  <c:v>0.54910814676064124</c:v>
                </c:pt>
                <c:pt idx="81">
                  <c:v>0.55252941442007608</c:v>
                </c:pt>
                <c:pt idx="82">
                  <c:v>0.55592962752481401</c:v>
                </c:pt>
                <c:pt idx="83">
                  <c:v>0.55930917006639969</c:v>
                </c:pt>
                <c:pt idx="84">
                  <c:v>0.56266841450436078</c:v>
                </c:pt>
                <c:pt idx="85">
                  <c:v>0.56600772224532192</c:v>
                </c:pt>
                <c:pt idx="86">
                  <c:v>0.56932744409682534</c:v>
                </c:pt>
                <c:pt idx="87">
                  <c:v>0.57262792069747182</c:v>
                </c:pt>
                <c:pt idx="88">
                  <c:v>0.57590948292487454</c:v>
                </c:pt>
                <c:pt idx="89">
                  <c:v>0.57917245228280911</c:v>
                </c:pt>
                <c:pt idx="90">
                  <c:v>0.64316127736493267</c:v>
                </c:pt>
                <c:pt idx="91">
                  <c:v>0.65030751378009877</c:v>
                </c:pt>
                <c:pt idx="92">
                  <c:v>0.65745375019526453</c:v>
                </c:pt>
                <c:pt idx="93">
                  <c:v>0.66459998661043052</c:v>
                </c:pt>
                <c:pt idx="94">
                  <c:v>0.67174622302559628</c:v>
                </c:pt>
                <c:pt idx="95">
                  <c:v>0.67889245944076237</c:v>
                </c:pt>
                <c:pt idx="96">
                  <c:v>0.68603869585592814</c:v>
                </c:pt>
                <c:pt idx="97">
                  <c:v>0.69318493227109412</c:v>
                </c:pt>
                <c:pt idx="98">
                  <c:v>0.70033116868626011</c:v>
                </c:pt>
                <c:pt idx="99">
                  <c:v>0.70747740510142587</c:v>
                </c:pt>
                <c:pt idx="100">
                  <c:v>0.71462364151659186</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1.2528537559583273</c:v>
                </c:pt>
                <c:pt idx="14">
                  <c:v>1.259043272829198</c:v>
                </c:pt>
                <c:pt idx="15">
                  <c:v>1.2650154090813737</c:v>
                </c:pt>
                <c:pt idx="16">
                  <c:v>1.2707915767638109</c:v>
                </c:pt>
                <c:pt idx="17">
                  <c:v>1.2763898878119051</c:v>
                </c:pt>
                <c:pt idx="18">
                  <c:v>1.281825825057515</c:v>
                </c:pt>
                <c:pt idx="19">
                  <c:v>1.2871127473901907</c:v>
                </c:pt>
                <c:pt idx="20">
                  <c:v>1.2922622765780152</c:v>
                </c:pt>
                <c:pt idx="21">
                  <c:v>1.297284597964578</c:v>
                </c:pt>
                <c:pt idx="22">
                  <c:v>1.3021886973795831</c:v>
                </c:pt>
                <c:pt idx="23">
                  <c:v>1.3069825500603554</c:v>
                </c:pt>
                <c:pt idx="24">
                  <c:v>1.3116732729560447</c:v>
                </c:pt>
                <c:pt idx="25">
                  <c:v>1.3162672487325415</c:v>
                </c:pt>
                <c:pt idx="26">
                  <c:v>1.3207702276511903</c:v>
                </c:pt>
                <c:pt idx="27">
                  <c:v>1.3251874119634202</c:v>
                </c:pt>
                <c:pt idx="28">
                  <c:v>1.3295235263545129</c:v>
                </c:pt>
                <c:pt idx="29">
                  <c:v>1.3337828771556897</c:v>
                </c:pt>
                <c:pt idx="30">
                  <c:v>1.3379694024386797</c:v>
                </c:pt>
                <c:pt idx="31">
                  <c:v>1.3420867146521349</c:v>
                </c:pt>
                <c:pt idx="32">
                  <c:v>1.3461381371137238</c:v>
                </c:pt>
                <c:pt idx="33">
                  <c:v>1.3501267354066748</c:v>
                </c:pt>
                <c:pt idx="34">
                  <c:v>1.3540553445243215</c:v>
                </c:pt>
                <c:pt idx="35">
                  <c:v>1.3579265924459656</c:v>
                </c:pt>
                <c:pt idx="36">
                  <c:v>1.3617429207012721</c:v>
                </c:pt>
                <c:pt idx="37">
                  <c:v>1.3655066023804161</c:v>
                </c:pt>
                <c:pt idx="38">
                  <c:v>1.3692197579673551</c:v>
                </c:pt>
                <c:pt idx="39">
                  <c:v>1.3728843693094333</c:v>
                </c:pt>
                <c:pt idx="40">
                  <c:v>1.3765022919846128</c:v>
                </c:pt>
                <c:pt idx="41">
                  <c:v>1.380075266285413</c:v>
                </c:pt>
                <c:pt idx="42">
                  <c:v>1.3836049270040864</c:v>
                </c:pt>
                <c:pt idx="43">
                  <c:v>1.3870928121751631</c:v>
                </c:pt>
                <c:pt idx="44">
                  <c:v>1.3905403709080126</c:v>
                </c:pt>
                <c:pt idx="45">
                  <c:v>1.3939489704225783</c:v>
                </c:pt>
                <c:pt idx="46">
                  <c:v>1.3973199023851792</c:v>
                </c:pt>
                <c:pt idx="47">
                  <c:v>1.400654388627645</c:v>
                </c:pt>
                <c:pt idx="48">
                  <c:v>1.4371843223018157</c:v>
                </c:pt>
                <c:pt idx="49">
                  <c:v>1.4444404771645849</c:v>
                </c:pt>
                <c:pt idx="50">
                  <c:v>1.4516966320273543</c:v>
                </c:pt>
                <c:pt idx="51">
                  <c:v>1.4589527868901235</c:v>
                </c:pt>
                <c:pt idx="52">
                  <c:v>1.466208941752893</c:v>
                </c:pt>
                <c:pt idx="53">
                  <c:v>1.4734650966156622</c:v>
                </c:pt>
                <c:pt idx="54">
                  <c:v>1.4807212514784316</c:v>
                </c:pt>
                <c:pt idx="55">
                  <c:v>1.4879774063412008</c:v>
                </c:pt>
                <c:pt idx="56">
                  <c:v>1.4952335612039702</c:v>
                </c:pt>
                <c:pt idx="57">
                  <c:v>1.5024897160667394</c:v>
                </c:pt>
                <c:pt idx="58">
                  <c:v>1.5097458709295086</c:v>
                </c:pt>
                <c:pt idx="59">
                  <c:v>1.5170020257922781</c:v>
                </c:pt>
                <c:pt idx="60">
                  <c:v>1.5242581806550473</c:v>
                </c:pt>
                <c:pt idx="61">
                  <c:v>1.5315143355178167</c:v>
                </c:pt>
                <c:pt idx="62">
                  <c:v>1.5387704903805859</c:v>
                </c:pt>
                <c:pt idx="63">
                  <c:v>1.5460266452433553</c:v>
                </c:pt>
                <c:pt idx="64">
                  <c:v>1.5532828001061245</c:v>
                </c:pt>
                <c:pt idx="65">
                  <c:v>1.5605389549688939</c:v>
                </c:pt>
                <c:pt idx="66">
                  <c:v>1.5677951098316634</c:v>
                </c:pt>
                <c:pt idx="67">
                  <c:v>1.5750512646944326</c:v>
                </c:pt>
                <c:pt idx="68">
                  <c:v>1.5823074195572018</c:v>
                </c:pt>
                <c:pt idx="69">
                  <c:v>1.589563574419971</c:v>
                </c:pt>
                <c:pt idx="70">
                  <c:v>1.5968197292827404</c:v>
                </c:pt>
                <c:pt idx="71">
                  <c:v>1.6040758841455096</c:v>
                </c:pt>
                <c:pt idx="72">
                  <c:v>1.611332039008279</c:v>
                </c:pt>
                <c:pt idx="73">
                  <c:v>1.6185881938710485</c:v>
                </c:pt>
                <c:pt idx="74">
                  <c:v>1.6258443487338177</c:v>
                </c:pt>
                <c:pt idx="75">
                  <c:v>1.6331005035965871</c:v>
                </c:pt>
                <c:pt idx="76">
                  <c:v>1.6403566584593565</c:v>
                </c:pt>
                <c:pt idx="77">
                  <c:v>1.6444444444444444</c:v>
                </c:pt>
                <c:pt idx="78">
                  <c:v>1.6444444444444444</c:v>
                </c:pt>
                <c:pt idx="79">
                  <c:v>1.6444444444444444</c:v>
                </c:pt>
                <c:pt idx="80">
                  <c:v>1.6444444444444444</c:v>
                </c:pt>
                <c:pt idx="81">
                  <c:v>1.6444444444444444</c:v>
                </c:pt>
                <c:pt idx="82">
                  <c:v>1.6444444444444444</c:v>
                </c:pt>
                <c:pt idx="83">
                  <c:v>1.6444444444444444</c:v>
                </c:pt>
                <c:pt idx="84">
                  <c:v>1.6444444444444444</c:v>
                </c:pt>
                <c:pt idx="85">
                  <c:v>1.6444444444444444</c:v>
                </c:pt>
                <c:pt idx="86">
                  <c:v>1.6444444444444444</c:v>
                </c:pt>
                <c:pt idx="87">
                  <c:v>1.6444444444444444</c:v>
                </c:pt>
                <c:pt idx="88">
                  <c:v>1.6444444444444444</c:v>
                </c:pt>
                <c:pt idx="89">
                  <c:v>1.6444444444444444</c:v>
                </c:pt>
                <c:pt idx="90">
                  <c:v>1.6444444444444444</c:v>
                </c:pt>
                <c:pt idx="91">
                  <c:v>1.6444444444444444</c:v>
                </c:pt>
                <c:pt idx="92">
                  <c:v>1.6444444444444444</c:v>
                </c:pt>
                <c:pt idx="93">
                  <c:v>1.6444444444444444</c:v>
                </c:pt>
                <c:pt idx="94">
                  <c:v>1.6444444444444444</c:v>
                </c:pt>
                <c:pt idx="95">
                  <c:v>1.6444444444444444</c:v>
                </c:pt>
                <c:pt idx="96">
                  <c:v>1.6444444444444444</c:v>
                </c:pt>
                <c:pt idx="97">
                  <c:v>1.6444444444444444</c:v>
                </c:pt>
                <c:pt idx="98">
                  <c:v>1.6444444444444444</c:v>
                </c:pt>
                <c:pt idx="99">
                  <c:v>1.6444444444444444</c:v>
                </c:pt>
                <c:pt idx="100">
                  <c:v>1.6444444444444444</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Dual'!$AJ$5:$AJ$105</c:f>
              <c:numCache>
                <c:formatCode>0.000</c:formatCode>
                <c:ptCount val="101"/>
                <c:pt idx="0">
                  <c:v>1.0057142857142858</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1.2528537559583273</c:v>
                </c:pt>
                <c:pt idx="14">
                  <c:v>1.259043272829198</c:v>
                </c:pt>
                <c:pt idx="15">
                  <c:v>1.2650154090813737</c:v>
                </c:pt>
                <c:pt idx="16">
                  <c:v>1.2707915767638109</c:v>
                </c:pt>
                <c:pt idx="17">
                  <c:v>1.2763898878119051</c:v>
                </c:pt>
                <c:pt idx="18">
                  <c:v>1.281825825057515</c:v>
                </c:pt>
                <c:pt idx="19">
                  <c:v>1.2871127473901907</c:v>
                </c:pt>
                <c:pt idx="20">
                  <c:v>1.2922622765780152</c:v>
                </c:pt>
                <c:pt idx="21">
                  <c:v>1.297284597964578</c:v>
                </c:pt>
                <c:pt idx="22">
                  <c:v>1.3021886973795831</c:v>
                </c:pt>
                <c:pt idx="23">
                  <c:v>1.3069825500603554</c:v>
                </c:pt>
                <c:pt idx="24">
                  <c:v>1.3116732729560447</c:v>
                </c:pt>
                <c:pt idx="25">
                  <c:v>1.3162672487325415</c:v>
                </c:pt>
                <c:pt idx="26">
                  <c:v>1.3207702276511903</c:v>
                </c:pt>
                <c:pt idx="27">
                  <c:v>1.3251874119634202</c:v>
                </c:pt>
                <c:pt idx="28">
                  <c:v>1.3295235263545129</c:v>
                </c:pt>
                <c:pt idx="29">
                  <c:v>1.3337828771556897</c:v>
                </c:pt>
                <c:pt idx="30">
                  <c:v>1.3379694024386797</c:v>
                </c:pt>
                <c:pt idx="31">
                  <c:v>1.3420867146521349</c:v>
                </c:pt>
                <c:pt idx="32">
                  <c:v>1.3461381371137238</c:v>
                </c:pt>
                <c:pt idx="33">
                  <c:v>1.3501267354066748</c:v>
                </c:pt>
                <c:pt idx="34">
                  <c:v>1.3540553445243215</c:v>
                </c:pt>
                <c:pt idx="35">
                  <c:v>1.3579265924459656</c:v>
                </c:pt>
                <c:pt idx="36">
                  <c:v>1.3617429207012721</c:v>
                </c:pt>
                <c:pt idx="37">
                  <c:v>1.3655066023804161</c:v>
                </c:pt>
                <c:pt idx="38">
                  <c:v>1.3692197579673551</c:v>
                </c:pt>
                <c:pt idx="39">
                  <c:v>1.3728843693094333</c:v>
                </c:pt>
                <c:pt idx="40">
                  <c:v>1.3765022919846128</c:v>
                </c:pt>
                <c:pt idx="41">
                  <c:v>1.380075266285413</c:v>
                </c:pt>
                <c:pt idx="42">
                  <c:v>1.3836049270040864</c:v>
                </c:pt>
                <c:pt idx="43">
                  <c:v>1.3870928121751631</c:v>
                </c:pt>
                <c:pt idx="44">
                  <c:v>1.3905403709080126</c:v>
                </c:pt>
                <c:pt idx="45">
                  <c:v>1.3939489704225783</c:v>
                </c:pt>
                <c:pt idx="46">
                  <c:v>1.3973199023851792</c:v>
                </c:pt>
                <c:pt idx="47">
                  <c:v>1.400654388627645</c:v>
                </c:pt>
                <c:pt idx="48">
                  <c:v>1.4039535863215971</c:v>
                </c:pt>
                <c:pt idx="49">
                  <c:v>1.4072185926700027</c:v>
                </c:pt>
                <c:pt idx="50">
                  <c:v>1.4104504491699323</c:v>
                </c:pt>
                <c:pt idx="51">
                  <c:v>1.4136501454934702</c:v>
                </c:pt>
                <c:pt idx="52">
                  <c:v>1.4168186230277657</c:v>
                </c:pt>
                <c:pt idx="53">
                  <c:v>1.4199567781101208</c:v>
                </c:pt>
                <c:pt idx="54">
                  <c:v>1.4230654649896226</c:v>
                </c:pt>
                <c:pt idx="55">
                  <c:v>1.4261454985430468</c:v>
                </c:pt>
                <c:pt idx="56">
                  <c:v>1.4291976567695075</c:v>
                </c:pt>
                <c:pt idx="57">
                  <c:v>1.4322226830854874</c:v>
                </c:pt>
                <c:pt idx="58">
                  <c:v>1.4352212884394362</c:v>
                </c:pt>
                <c:pt idx="59">
                  <c:v>1.438194153262971</c:v>
                </c:pt>
                <c:pt idx="60">
                  <c:v>1.4411419292738585</c:v>
                </c:pt>
                <c:pt idx="61">
                  <c:v>1.4440652411443038</c:v>
                </c:pt>
                <c:pt idx="62">
                  <c:v>1.4469646880466513</c:v>
                </c:pt>
                <c:pt idx="63">
                  <c:v>1.449840845087325</c:v>
                </c:pt>
                <c:pt idx="64">
                  <c:v>1.4526942646387331</c:v>
                </c:pt>
                <c:pt idx="65">
                  <c:v>1.4555254775778699</c:v>
                </c:pt>
                <c:pt idx="66">
                  <c:v>1.4583349944394828</c:v>
                </c:pt>
                <c:pt idx="67">
                  <c:v>1.4611233064908995</c:v>
                </c:pt>
                <c:pt idx="68">
                  <c:v>1.4638908867349212</c:v>
                </c:pt>
                <c:pt idx="69">
                  <c:v>1.4666381908465804</c:v>
                </c:pt>
                <c:pt idx="70">
                  <c:v>1.4693656580490189</c:v>
                </c:pt>
                <c:pt idx="71">
                  <c:v>1.4720737119332501</c:v>
                </c:pt>
                <c:pt idx="72">
                  <c:v>1.4747627612261411</c:v>
                </c:pt>
                <c:pt idx="73">
                  <c:v>1.4774332005105539</c:v>
                </c:pt>
                <c:pt idx="74">
                  <c:v>1.4800854109012416</c:v>
                </c:pt>
                <c:pt idx="75">
                  <c:v>1.4827197606797742</c:v>
                </c:pt>
                <c:pt idx="76">
                  <c:v>1.4853366058914923</c:v>
                </c:pt>
                <c:pt idx="77">
                  <c:v>1.4879362909072256</c:v>
                </c:pt>
                <c:pt idx="78">
                  <c:v>1.4905191489522853</c:v>
                </c:pt>
                <c:pt idx="79">
                  <c:v>1.4930855026050347</c:v>
                </c:pt>
                <c:pt idx="80">
                  <c:v>1.4956356642671416</c:v>
                </c:pt>
                <c:pt idx="81">
                  <c:v>1.4981699366074637</c:v>
                </c:pt>
                <c:pt idx="82">
                  <c:v>1.5006886129813437</c:v>
                </c:pt>
                <c:pt idx="83">
                  <c:v>1.5031919778269627</c:v>
                </c:pt>
                <c:pt idx="84">
                  <c:v>1.5056803070402671</c:v>
                </c:pt>
                <c:pt idx="85">
                  <c:v>1.5081538683298681</c:v>
                </c:pt>
                <c:pt idx="86">
                  <c:v>1.5106129215532038</c:v>
                </c:pt>
                <c:pt idx="87">
                  <c:v>1.5130577190351642</c:v>
                </c:pt>
                <c:pt idx="88">
                  <c:v>1.5154885058702774</c:v>
                </c:pt>
                <c:pt idx="89">
                  <c:v>1.5179055202094882</c:v>
                </c:pt>
                <c:pt idx="90">
                  <c:v>1.5203089935324747</c:v>
                </c:pt>
                <c:pt idx="91">
                  <c:v>1.5226991509063867</c:v>
                </c:pt>
                <c:pt idx="92">
                  <c:v>1.5250762112318219</c:v>
                </c:pt>
                <c:pt idx="93">
                  <c:v>1.527440387476803</c:v>
                </c:pt>
                <c:pt idx="94">
                  <c:v>1.5297918868994635</c:v>
                </c:pt>
                <c:pt idx="95">
                  <c:v>1.5321309112600991</c:v>
                </c:pt>
                <c:pt idx="96">
                  <c:v>1.5344576570232005</c:v>
                </c:pt>
                <c:pt idx="97">
                  <c:v>1.536772315550041</c:v>
                </c:pt>
                <c:pt idx="98">
                  <c:v>1.5390750732823499</c:v>
                </c:pt>
                <c:pt idx="99">
                  <c:v>1.5413661119175743</c:v>
                </c:pt>
                <c:pt idx="100">
                  <c:v>1.5436456085761943</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1.0165565687267815</c:v>
                </c:pt>
                <c:pt idx="2">
                  <c:v>1.0331131374535629</c:v>
                </c:pt>
                <c:pt idx="3">
                  <c:v>1.0496697061803446</c:v>
                </c:pt>
                <c:pt idx="4">
                  <c:v>1.0662262749071261</c:v>
                </c:pt>
                <c:pt idx="5">
                  <c:v>1.0827828436339075</c:v>
                </c:pt>
                <c:pt idx="6">
                  <c:v>1.099339412360689</c:v>
                </c:pt>
                <c:pt idx="7">
                  <c:v>1.1158959810874705</c:v>
                </c:pt>
                <c:pt idx="8">
                  <c:v>1.1324525498142519</c:v>
                </c:pt>
                <c:pt idx="9">
                  <c:v>1.1490091185410334</c:v>
                </c:pt>
                <c:pt idx="10">
                  <c:v>1.1655656872678151</c:v>
                </c:pt>
                <c:pt idx="11">
                  <c:v>1.1821222559945965</c:v>
                </c:pt>
                <c:pt idx="12">
                  <c:v>1.198678824721378</c:v>
                </c:pt>
                <c:pt idx="13">
                  <c:v>1.2528537559583273</c:v>
                </c:pt>
                <c:pt idx="14">
                  <c:v>1.259043272829198</c:v>
                </c:pt>
                <c:pt idx="15">
                  <c:v>1.2650154090813737</c:v>
                </c:pt>
                <c:pt idx="16">
                  <c:v>1.2707915767638109</c:v>
                </c:pt>
                <c:pt idx="17">
                  <c:v>1.2763898878119051</c:v>
                </c:pt>
                <c:pt idx="18">
                  <c:v>1.281825825057515</c:v>
                </c:pt>
                <c:pt idx="19">
                  <c:v>1.2871127473901907</c:v>
                </c:pt>
                <c:pt idx="20">
                  <c:v>1.2922622765780152</c:v>
                </c:pt>
                <c:pt idx="21">
                  <c:v>1.297284597964578</c:v>
                </c:pt>
                <c:pt idx="22">
                  <c:v>1.3021886973795831</c:v>
                </c:pt>
                <c:pt idx="23">
                  <c:v>1.3069825500603554</c:v>
                </c:pt>
                <c:pt idx="24">
                  <c:v>1.3116732729560447</c:v>
                </c:pt>
                <c:pt idx="25">
                  <c:v>1.3162672487325415</c:v>
                </c:pt>
                <c:pt idx="26">
                  <c:v>1.3207702276511903</c:v>
                </c:pt>
                <c:pt idx="27">
                  <c:v>1.3251874119634202</c:v>
                </c:pt>
                <c:pt idx="28">
                  <c:v>1.3295235263545129</c:v>
                </c:pt>
                <c:pt idx="29">
                  <c:v>1.3337828771556897</c:v>
                </c:pt>
                <c:pt idx="30">
                  <c:v>1.3379694024386797</c:v>
                </c:pt>
                <c:pt idx="31">
                  <c:v>1.3420867146521349</c:v>
                </c:pt>
                <c:pt idx="32">
                  <c:v>1.3461381371137238</c:v>
                </c:pt>
                <c:pt idx="33">
                  <c:v>1.3501267354066748</c:v>
                </c:pt>
                <c:pt idx="34">
                  <c:v>1.3540553445243215</c:v>
                </c:pt>
                <c:pt idx="35">
                  <c:v>1.3579265924459656</c:v>
                </c:pt>
                <c:pt idx="36">
                  <c:v>1.3617429207012721</c:v>
                </c:pt>
                <c:pt idx="37">
                  <c:v>1.3655066023804161</c:v>
                </c:pt>
                <c:pt idx="38">
                  <c:v>1.3692197579673551</c:v>
                </c:pt>
                <c:pt idx="39">
                  <c:v>1.3728843693094333</c:v>
                </c:pt>
                <c:pt idx="40">
                  <c:v>1.3765022919846128</c:v>
                </c:pt>
                <c:pt idx="41">
                  <c:v>1.380075266285413</c:v>
                </c:pt>
                <c:pt idx="42">
                  <c:v>1.3836049270040864</c:v>
                </c:pt>
                <c:pt idx="43">
                  <c:v>1.3870928121751631</c:v>
                </c:pt>
                <c:pt idx="44">
                  <c:v>1.3905403709080126</c:v>
                </c:pt>
                <c:pt idx="45">
                  <c:v>1.3939489704225783</c:v>
                </c:pt>
                <c:pt idx="46">
                  <c:v>1.3973199023851792</c:v>
                </c:pt>
                <c:pt idx="47">
                  <c:v>1.400654388627645</c:v>
                </c:pt>
                <c:pt idx="48">
                  <c:v>1.4039535863215971</c:v>
                </c:pt>
                <c:pt idx="49">
                  <c:v>1.4072185926700027</c:v>
                </c:pt>
                <c:pt idx="50">
                  <c:v>1.4104504491699323</c:v>
                </c:pt>
                <c:pt idx="51">
                  <c:v>1.4136501454934702</c:v>
                </c:pt>
                <c:pt idx="52">
                  <c:v>1.4168186230277657</c:v>
                </c:pt>
                <c:pt idx="53">
                  <c:v>1.4199567781101208</c:v>
                </c:pt>
                <c:pt idx="54">
                  <c:v>1.4230654649896226</c:v>
                </c:pt>
                <c:pt idx="55">
                  <c:v>1.4261454985430468</c:v>
                </c:pt>
                <c:pt idx="56">
                  <c:v>1.4291976567695075</c:v>
                </c:pt>
                <c:pt idx="57">
                  <c:v>1.4322226830854874</c:v>
                </c:pt>
                <c:pt idx="58">
                  <c:v>1.4352212884394362</c:v>
                </c:pt>
                <c:pt idx="59">
                  <c:v>1.438194153262971</c:v>
                </c:pt>
                <c:pt idx="60">
                  <c:v>1.4411419292738585</c:v>
                </c:pt>
                <c:pt idx="61">
                  <c:v>1.4440652411443038</c:v>
                </c:pt>
                <c:pt idx="62">
                  <c:v>1.4469646880466513</c:v>
                </c:pt>
                <c:pt idx="63">
                  <c:v>1.449840845087325</c:v>
                </c:pt>
                <c:pt idx="64">
                  <c:v>1.4526942646387331</c:v>
                </c:pt>
                <c:pt idx="65">
                  <c:v>1.4555254775778699</c:v>
                </c:pt>
                <c:pt idx="66">
                  <c:v>1.4583349944394828</c:v>
                </c:pt>
                <c:pt idx="67">
                  <c:v>1.4611233064908995</c:v>
                </c:pt>
                <c:pt idx="68">
                  <c:v>1.4638908867349212</c:v>
                </c:pt>
                <c:pt idx="69">
                  <c:v>1.4666381908465804</c:v>
                </c:pt>
                <c:pt idx="70">
                  <c:v>1.4693656580490189</c:v>
                </c:pt>
                <c:pt idx="71">
                  <c:v>1.4720737119332501</c:v>
                </c:pt>
                <c:pt idx="72">
                  <c:v>1.4747627612261411</c:v>
                </c:pt>
                <c:pt idx="73">
                  <c:v>1.4774332005105539</c:v>
                </c:pt>
                <c:pt idx="74">
                  <c:v>1.4800854109012416</c:v>
                </c:pt>
                <c:pt idx="75">
                  <c:v>1.4827197606797742</c:v>
                </c:pt>
                <c:pt idx="76">
                  <c:v>1.4853366058914923</c:v>
                </c:pt>
                <c:pt idx="77">
                  <c:v>1.4879362909072256</c:v>
                </c:pt>
                <c:pt idx="78">
                  <c:v>1.4905191489522853</c:v>
                </c:pt>
                <c:pt idx="79">
                  <c:v>1.4930855026050347</c:v>
                </c:pt>
                <c:pt idx="80">
                  <c:v>1.4956356642671416</c:v>
                </c:pt>
                <c:pt idx="81">
                  <c:v>1.4981699366074637</c:v>
                </c:pt>
                <c:pt idx="82">
                  <c:v>1.5006886129813437</c:v>
                </c:pt>
                <c:pt idx="83">
                  <c:v>1.5031919778269627</c:v>
                </c:pt>
                <c:pt idx="84">
                  <c:v>1.5056803070402671</c:v>
                </c:pt>
                <c:pt idx="85">
                  <c:v>1.5081538683298681</c:v>
                </c:pt>
                <c:pt idx="86">
                  <c:v>1.5106129215532038</c:v>
                </c:pt>
                <c:pt idx="87">
                  <c:v>1.5130577190351642</c:v>
                </c:pt>
                <c:pt idx="88">
                  <c:v>1.5154885058702774</c:v>
                </c:pt>
                <c:pt idx="89">
                  <c:v>1.5179055202094882</c:v>
                </c:pt>
                <c:pt idx="90">
                  <c:v>1.5653046498999501</c:v>
                </c:pt>
                <c:pt idx="91">
                  <c:v>1.5705981583556285</c:v>
                </c:pt>
                <c:pt idx="92">
                  <c:v>1.575891666811307</c:v>
                </c:pt>
                <c:pt idx="93">
                  <c:v>1.5811851752669854</c:v>
                </c:pt>
                <c:pt idx="94">
                  <c:v>1.5864786837226639</c:v>
                </c:pt>
                <c:pt idx="95">
                  <c:v>1.5917721921783423</c:v>
                </c:pt>
                <c:pt idx="96">
                  <c:v>1.5970657006340208</c:v>
                </c:pt>
                <c:pt idx="97">
                  <c:v>1.6023592090896992</c:v>
                </c:pt>
                <c:pt idx="98">
                  <c:v>1.6076527175453779</c:v>
                </c:pt>
                <c:pt idx="99">
                  <c:v>1.6129462260010561</c:v>
                </c:pt>
                <c:pt idx="100">
                  <c:v>1.6182397344567347</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1.2140397450613847E-4</c:v>
                </c:pt>
                <c:pt idx="1">
                  <c:v>52.565733085684784</c:v>
                </c:pt>
                <c:pt idx="2">
                  <c:v>66.455194822550723</c:v>
                </c:pt>
                <c:pt idx="3">
                  <c:v>72.87365538532552</c:v>
                </c:pt>
                <c:pt idx="4">
                  <c:v>76.571399560298971</c:v>
                </c:pt>
                <c:pt idx="5">
                  <c:v>78.975814655989225</c:v>
                </c:pt>
                <c:pt idx="6">
                  <c:v>80.623436528760834</c:v>
                </c:pt>
                <c:pt idx="7">
                  <c:v>80.681487281071242</c:v>
                </c:pt>
                <c:pt idx="8">
                  <c:v>80.697839112787662</c:v>
                </c:pt>
                <c:pt idx="9">
                  <c:v>80.688833896983624</c:v>
                </c:pt>
                <c:pt idx="10">
                  <c:v>80.6640646729483</c:v>
                </c:pt>
                <c:pt idx="11">
                  <c:v>80.62947155562648</c:v>
                </c:pt>
                <c:pt idx="12">
                  <c:v>80.588887336305206</c:v>
                </c:pt>
                <c:pt idx="13">
                  <c:v>80.989953468441229</c:v>
                </c:pt>
                <c:pt idx="14">
                  <c:v>81.378475440224889</c:v>
                </c:pt>
                <c:pt idx="15">
                  <c:v>81.723300276476834</c:v>
                </c:pt>
                <c:pt idx="16">
                  <c:v>82.031923848956666</c:v>
                </c:pt>
                <c:pt idx="17">
                  <c:v>82.310194739242007</c:v>
                </c:pt>
                <c:pt idx="18">
                  <c:v>82.56274608114451</c:v>
                </c:pt>
                <c:pt idx="19">
                  <c:v>82.793297844910214</c:v>
                </c:pt>
                <c:pt idx="20">
                  <c:v>83.00487284961892</c:v>
                </c:pt>
                <c:pt idx="21">
                  <c:v>83.199953990542014</c:v>
                </c:pt>
                <c:pt idx="22">
                  <c:v>83.380600580044629</c:v>
                </c:pt>
                <c:pt idx="23">
                  <c:v>83.548535722057593</c:v>
                </c:pt>
                <c:pt idx="24">
                  <c:v>83.705212820708738</c:v>
                </c:pt>
                <c:pt idx="25">
                  <c:v>83.851866829685349</c:v>
                </c:pt>
                <c:pt idx="26">
                  <c:v>83.98955418777598</c:v>
                </c:pt>
                <c:pt idx="27">
                  <c:v>84.11918425952652</c:v>
                </c:pt>
                <c:pt idx="28">
                  <c:v>84.241544323291393</c:v>
                </c:pt>
                <c:pt idx="29">
                  <c:v>84.357319605344173</c:v>
                </c:pt>
                <c:pt idx="30">
                  <c:v>84.467109472870732</c:v>
                </c:pt>
                <c:pt idx="31">
                  <c:v>84.571440621258475</c:v>
                </c:pt>
                <c:pt idx="32">
                  <c:v>84.670777889248328</c:v>
                </c:pt>
                <c:pt idx="33">
                  <c:v>84.76553318701005</c:v>
                </c:pt>
                <c:pt idx="34">
                  <c:v>84.856072911802727</c:v>
                </c:pt>
                <c:pt idx="35">
                  <c:v>84.942724143013848</c:v>
                </c:pt>
                <c:pt idx="36">
                  <c:v>85.025779845602614</c:v>
                </c:pt>
                <c:pt idx="37">
                  <c:v>85.105503263021859</c:v>
                </c:pt>
                <c:pt idx="38">
                  <c:v>85.182131643768571</c:v>
                </c:pt>
                <c:pt idx="39">
                  <c:v>85.255879417063355</c:v>
                </c:pt>
                <c:pt idx="40">
                  <c:v>85.32694091077262</c:v>
                </c:pt>
                <c:pt idx="41">
                  <c:v>85.395492687073983</c:v>
                </c:pt>
                <c:pt idx="42">
                  <c:v>85.461695557422786</c:v>
                </c:pt>
                <c:pt idx="43">
                  <c:v>85.525696327270566</c:v>
                </c:pt>
                <c:pt idx="44">
                  <c:v>85.587629312088765</c:v>
                </c:pt>
                <c:pt idx="45">
                  <c:v>85.647617659084901</c:v>
                </c:pt>
                <c:pt idx="46">
                  <c:v>85.705774503195059</c:v>
                </c:pt>
                <c:pt idx="47">
                  <c:v>85.762203981215833</c:v>
                </c:pt>
                <c:pt idx="48">
                  <c:v>85.817002124078016</c:v>
                </c:pt>
                <c:pt idx="49">
                  <c:v>85.870257644095176</c:v>
                </c:pt>
                <c:pt idx="50">
                  <c:v>85.922052631405037</c:v>
                </c:pt>
                <c:pt idx="51">
                  <c:v>85.984085510588542</c:v>
                </c:pt>
                <c:pt idx="52">
                  <c:v>86.068715072125173</c:v>
                </c:pt>
                <c:pt idx="53">
                  <c:v>86.149186437583595</c:v>
                </c:pt>
                <c:pt idx="54">
                  <c:v>86.225770319202311</c:v>
                </c:pt>
                <c:pt idx="55">
                  <c:v>86.298715505973263</c:v>
                </c:pt>
                <c:pt idx="56">
                  <c:v>86.368250972866093</c:v>
                </c:pt>
                <c:pt idx="57">
                  <c:v>86.434587756432379</c:v>
                </c:pt>
                <c:pt idx="58">
                  <c:v>86.497920625913636</c:v>
                </c:pt>
                <c:pt idx="59">
                  <c:v>86.558429574958978</c:v>
                </c:pt>
                <c:pt idx="60">
                  <c:v>86.616281155646618</c:v>
                </c:pt>
                <c:pt idx="61">
                  <c:v>86.671629673597664</c:v>
                </c:pt>
                <c:pt idx="62">
                  <c:v>86.724618260489919</c:v>
                </c:pt>
                <c:pt idx="63">
                  <c:v>86.775379838157988</c:v>
                </c:pt>
                <c:pt idx="64">
                  <c:v>86.824037986645124</c:v>
                </c:pt>
                <c:pt idx="65">
                  <c:v>86.870707727007826</c:v>
                </c:pt>
                <c:pt idx="66">
                  <c:v>86.915496228326859</c:v>
                </c:pt>
                <c:pt idx="67">
                  <c:v>86.958503447213587</c:v>
                </c:pt>
                <c:pt idx="68">
                  <c:v>86.999822707094879</c:v>
                </c:pt>
                <c:pt idx="69">
                  <c:v>87.0395412236862</c:v>
                </c:pt>
                <c:pt idx="70">
                  <c:v>87.077740582304969</c:v>
                </c:pt>
                <c:pt idx="71">
                  <c:v>87.114497172016144</c:v>
                </c:pt>
                <c:pt idx="72">
                  <c:v>87.149882581026674</c:v>
                </c:pt>
                <c:pt idx="73">
                  <c:v>87.183963957242966</c:v>
                </c:pt>
                <c:pt idx="74">
                  <c:v>87.216804337465973</c:v>
                </c:pt>
                <c:pt idx="75">
                  <c:v>87.248462948312039</c:v>
                </c:pt>
                <c:pt idx="76">
                  <c:v>87.278995481610409</c:v>
                </c:pt>
                <c:pt idx="77">
                  <c:v>87.308454346729192</c:v>
                </c:pt>
                <c:pt idx="78">
                  <c:v>87.336888902020107</c:v>
                </c:pt>
                <c:pt idx="79">
                  <c:v>87.364345667340075</c:v>
                </c:pt>
                <c:pt idx="80">
                  <c:v>87.390868519403995</c:v>
                </c:pt>
                <c:pt idx="81">
                  <c:v>87.416498871540753</c:v>
                </c:pt>
                <c:pt idx="82">
                  <c:v>87.441275839265003</c:v>
                </c:pt>
                <c:pt idx="83">
                  <c:v>87.463634437941323</c:v>
                </c:pt>
                <c:pt idx="84">
                  <c:v>87.483738378618895</c:v>
                </c:pt>
                <c:pt idx="85">
                  <c:v>87.503385892647856</c:v>
                </c:pt>
                <c:pt idx="86">
                  <c:v>87.522591268633391</c:v>
                </c:pt>
                <c:pt idx="87">
                  <c:v>87.541368202973374</c:v>
                </c:pt>
                <c:pt idx="88">
                  <c:v>87.559729830699624</c:v>
                </c:pt>
                <c:pt idx="89">
                  <c:v>87.577688754380915</c:v>
                </c:pt>
                <c:pt idx="90">
                  <c:v>87.595257071229994</c:v>
                </c:pt>
                <c:pt idx="91">
                  <c:v>87.612446398545458</c:v>
                </c:pt>
                <c:pt idx="92">
                  <c:v>87.629267897608031</c:v>
                </c:pt>
                <c:pt idx="93">
                  <c:v>87.645732296141176</c:v>
                </c:pt>
                <c:pt idx="94">
                  <c:v>87.661849909436924</c:v>
                </c:pt>
                <c:pt idx="95">
                  <c:v>87.677630660239942</c:v>
                </c:pt>
                <c:pt idx="96">
                  <c:v>87.693084097475094</c:v>
                </c:pt>
                <c:pt idx="97">
                  <c:v>87.708219413897197</c:v>
                </c:pt>
                <c:pt idx="98">
                  <c:v>87.723045462735911</c:v>
                </c:pt>
                <c:pt idx="99">
                  <c:v>87.73757077340224</c:v>
                </c:pt>
                <c:pt idx="100">
                  <c:v>87.751803566319197</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11.421058493401512</c:v>
                </c:pt>
                <c:pt idx="1">
                  <c:v>12.082726316944996</c:v>
                </c:pt>
                <c:pt idx="2">
                  <c:v>12.690462450627136</c:v>
                </c:pt>
                <c:pt idx="3">
                  <c:v>13.298198584309286</c:v>
                </c:pt>
                <c:pt idx="4">
                  <c:v>13.905934717991428</c:v>
                </c:pt>
                <c:pt idx="5">
                  <c:v>14.513670851673576</c:v>
                </c:pt>
                <c:pt idx="6">
                  <c:v>15.172404127018716</c:v>
                </c:pt>
                <c:pt idx="7">
                  <c:v>17.414415341202965</c:v>
                </c:pt>
                <c:pt idx="8">
                  <c:v>19.550179086028429</c:v>
                </c:pt>
                <c:pt idx="9">
                  <c:v>21.57234813369692</c:v>
                </c:pt>
                <c:pt idx="10">
                  <c:v>23.474023547256103</c:v>
                </c:pt>
                <c:pt idx="11">
                  <c:v>25.248681292511634</c:v>
                </c:pt>
                <c:pt idx="12">
                  <c:v>26.890116954589942</c:v>
                </c:pt>
                <c:pt idx="13">
                  <c:v>28.854487816848142</c:v>
                </c:pt>
                <c:pt idx="14">
                  <c:v>30.827466234165506</c:v>
                </c:pt>
                <c:pt idx="15">
                  <c:v>32.774495745929897</c:v>
                </c:pt>
                <c:pt idx="16">
                  <c:v>34.696457266138978</c:v>
                </c:pt>
                <c:pt idx="17">
                  <c:v>36.594147626100678</c:v>
                </c:pt>
                <c:pt idx="18">
                  <c:v>38.468292159652222</c:v>
                </c:pt>
                <c:pt idx="19">
                  <c:v>40.319554798497236</c:v>
                </c:pt>
                <c:pt idx="20">
                  <c:v>42.14854627747868</c:v>
                </c:pt>
                <c:pt idx="21">
                  <c:v>43.95583088188215</c:v>
                </c:pt>
                <c:pt idx="22">
                  <c:v>45.741932053910553</c:v>
                </c:pt>
                <c:pt idx="23">
                  <c:v>47.507337095008303</c:v>
                </c:pt>
                <c:pt idx="24">
                  <c:v>49.252501143321453</c:v>
                </c:pt>
                <c:pt idx="25">
                  <c:v>50.977850563947683</c:v>
                </c:pt>
                <c:pt idx="26">
                  <c:v>52.683785858962636</c:v>
                </c:pt>
                <c:pt idx="27">
                  <c:v>54.370684181305712</c:v>
                </c:pt>
                <c:pt idx="28">
                  <c:v>56.038901519282717</c:v>
                </c:pt>
                <c:pt idx="29">
                  <c:v>57.688774605185984</c:v>
                </c:pt>
                <c:pt idx="30">
                  <c:v>59.320622591279253</c:v>
                </c:pt>
                <c:pt idx="31">
                  <c:v>60.93474852838461</c:v>
                </c:pt>
                <c:pt idx="32">
                  <c:v>62.531440675997892</c:v>
                </c:pt>
                <c:pt idx="33">
                  <c:v>64.110973667838877</c:v>
                </c:pt>
                <c:pt idx="34">
                  <c:v>65.673609552723775</c:v>
                </c:pt>
                <c:pt idx="35">
                  <c:v>67.219598727401191</c:v>
                </c:pt>
                <c:pt idx="36">
                  <c:v>68.749180775356592</c:v>
                </c:pt>
                <c:pt idx="37">
                  <c:v>70.262585223432282</c:v>
                </c:pt>
                <c:pt idx="38">
                  <c:v>71.760032226335866</c:v>
                </c:pt>
                <c:pt idx="39">
                  <c:v>73.241733187640378</c:v>
                </c:pt>
                <c:pt idx="40">
                  <c:v>74.707891324657453</c:v>
                </c:pt>
                <c:pt idx="41">
                  <c:v>76.158702183542061</c:v>
                </c:pt>
                <c:pt idx="42">
                  <c:v>77.594354110129274</c:v>
                </c:pt>
                <c:pt idx="43">
                  <c:v>79.015028681277087</c:v>
                </c:pt>
                <c:pt idx="44">
                  <c:v>80.420901100876236</c:v>
                </c:pt>
                <c:pt idx="45">
                  <c:v>81.812140564162448</c:v>
                </c:pt>
                <c:pt idx="46">
                  <c:v>83.188910593521598</c:v>
                </c:pt>
                <c:pt idx="47">
                  <c:v>84.551369348592445</c:v>
                </c:pt>
                <c:pt idx="48">
                  <c:v>85.899669913143214</c:v>
                </c:pt>
                <c:pt idx="49">
                  <c:v>87.2339605609111</c:v>
                </c:pt>
                <c:pt idx="50">
                  <c:v>88.554385002348369</c:v>
                </c:pt>
                <c:pt idx="51">
                  <c:v>90.147124277022982</c:v>
                </c:pt>
                <c:pt idx="52">
                  <c:v>92.376242670598856</c:v>
                </c:pt>
                <c:pt idx="53">
                  <c:v>94.609735226466213</c:v>
                </c:pt>
                <c:pt idx="54">
                  <c:v>96.847478715007952</c:v>
                </c:pt>
                <c:pt idx="55">
                  <c:v>99.089355586255778</c:v>
                </c:pt>
                <c:pt idx="56">
                  <c:v>101.33525361002476</c:v>
                </c:pt>
                <c:pt idx="57">
                  <c:v>103.58506554484404</c:v>
                </c:pt>
                <c:pt idx="58">
                  <c:v>105.83868883291578</c:v>
                </c:pt>
                <c:pt idx="59">
                  <c:v>108.09602531864448</c:v>
                </c:pt>
                <c:pt idx="60">
                  <c:v>110.35698098854863</c:v>
                </c:pt>
                <c:pt idx="61">
                  <c:v>112.62146573060127</c:v>
                </c:pt>
                <c:pt idx="62">
                  <c:v>114.88939311125544</c:v>
                </c:pt>
                <c:pt idx="63">
                  <c:v>117.16068016859101</c:v>
                </c:pt>
                <c:pt idx="64">
                  <c:v>119.43524722018128</c:v>
                </c:pt>
                <c:pt idx="65">
                  <c:v>121.71301768441806</c:v>
                </c:pt>
                <c:pt idx="66">
                  <c:v>123.99391791416205</c:v>
                </c:pt>
                <c:pt idx="67">
                  <c:v>126.2778770416938</c:v>
                </c:pt>
                <c:pt idx="68">
                  <c:v>128.5648268340413</c:v>
                </c:pt>
                <c:pt idx="69">
                  <c:v>130.85470155784787</c:v>
                </c:pt>
                <c:pt idx="70">
                  <c:v>133.14743785302295</c:v>
                </c:pt>
                <c:pt idx="71">
                  <c:v>135.44297461448687</c:v>
                </c:pt>
                <c:pt idx="72">
                  <c:v>137.74125288138617</c:v>
                </c:pt>
                <c:pt idx="73">
                  <c:v>140.04221573320922</c:v>
                </c:pt>
                <c:pt idx="74">
                  <c:v>142.34580819228515</c:v>
                </c:pt>
                <c:pt idx="75">
                  <c:v>144.6519771321928</c:v>
                </c:pt>
                <c:pt idx="76">
                  <c:v>146.96067119164684</c:v>
                </c:pt>
                <c:pt idx="77">
                  <c:v>149.27184069346742</c:v>
                </c:pt>
                <c:pt idx="78">
                  <c:v>151.58543756827041</c:v>
                </c:pt>
                <c:pt idx="79">
                  <c:v>153.90141528254625</c:v>
                </c:pt>
                <c:pt idx="80">
                  <c:v>156.21972877082314</c:v>
                </c:pt>
                <c:pt idx="81">
                  <c:v>158.54033437163514</c:v>
                </c:pt>
                <c:pt idx="82">
                  <c:v>160.86318976703654</c:v>
                </c:pt>
                <c:pt idx="83">
                  <c:v>163.00762227476338</c:v>
                </c:pt>
                <c:pt idx="84">
                  <c:v>164.96220115313014</c:v>
                </c:pt>
                <c:pt idx="85">
                  <c:v>166.91864990652135</c:v>
                </c:pt>
                <c:pt idx="86">
                  <c:v>168.87696768023071</c:v>
                </c:pt>
                <c:pt idx="87">
                  <c:v>170.83715302347085</c:v>
                </c:pt>
                <c:pt idx="88">
                  <c:v>172.79920392495896</c:v>
                </c:pt>
                <c:pt idx="89">
                  <c:v>174.76311784652898</c:v>
                </c:pt>
                <c:pt idx="90">
                  <c:v>176.72889175488777</c:v>
                </c:pt>
                <c:pt idx="91">
                  <c:v>178.6965221516258</c:v>
                </c:pt>
                <c:pt idx="92">
                  <c:v>180.66600510158227</c:v>
                </c:pt>
                <c:pt idx="93">
                  <c:v>182.63733625966225</c:v>
                </c:pt>
                <c:pt idx="94">
                  <c:v>184.61051089619539</c:v>
                </c:pt>
                <c:pt idx="95">
                  <c:v>186.58552392091892</c:v>
                </c:pt>
                <c:pt idx="96">
                  <c:v>188.56236990566421</c:v>
                </c:pt>
                <c:pt idx="97">
                  <c:v>190.54104310582099</c:v>
                </c:pt>
                <c:pt idx="98">
                  <c:v>192.52153748064759</c:v>
                </c:pt>
                <c:pt idx="99">
                  <c:v>194.5038467124925</c:v>
                </c:pt>
                <c:pt idx="100">
                  <c:v>196.48796422498782</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5.1763160451864545</c:v>
                </c:pt>
                <c:pt idx="1">
                  <c:v>6.744178059087691</c:v>
                </c:pt>
                <c:pt idx="2">
                  <c:v>9.1383876990455217</c:v>
                </c:pt>
                <c:pt idx="3">
                  <c:v>11.532628920498361</c:v>
                </c:pt>
                <c:pt idx="4">
                  <c:v>13.926901724071083</c:v>
                </c:pt>
                <c:pt idx="5">
                  <c:v>16.321206110388591</c:v>
                </c:pt>
                <c:pt idx="6">
                  <c:v>18.727400889040943</c:v>
                </c:pt>
                <c:pt idx="7">
                  <c:v>21.56894312193096</c:v>
                </c:pt>
                <c:pt idx="8">
                  <c:v>24.514836279632149</c:v>
                </c:pt>
                <c:pt idx="9">
                  <c:v>27.562078119897564</c:v>
                </c:pt>
                <c:pt idx="10">
                  <c:v>30.708413471724782</c:v>
                </c:pt>
                <c:pt idx="11">
                  <c:v>33.952131460958981</c:v>
                </c:pt>
                <c:pt idx="12">
                  <c:v>37.291931020590006</c:v>
                </c:pt>
                <c:pt idx="13">
                  <c:v>38.151242170990564</c:v>
                </c:pt>
                <c:pt idx="14">
                  <c:v>38.781110043131719</c:v>
                </c:pt>
                <c:pt idx="15">
                  <c:v>39.402222421958307</c:v>
                </c:pt>
                <c:pt idx="16">
                  <c:v>40.015884542614117</c:v>
                </c:pt>
                <c:pt idx="17">
                  <c:v>40.623187169583289</c:v>
                </c:pt>
                <c:pt idx="18">
                  <c:v>41.225051380991836</c:v>
                </c:pt>
                <c:pt idx="19">
                  <c:v>41.822262122077262</c:v>
                </c:pt>
                <c:pt idx="20">
                  <c:v>42.415493774536081</c:v>
                </c:pt>
                <c:pt idx="21">
                  <c:v>43.005329936808216</c:v>
                </c:pt>
                <c:pt idx="22">
                  <c:v>43.592278932681324</c:v>
                </c:pt>
                <c:pt idx="23">
                  <c:v>44.176786118089282</c:v>
                </c:pt>
                <c:pt idx="24">
                  <c:v>44.759243753940403</c:v>
                </c:pt>
                <c:pt idx="25">
                  <c:v>45.339999004918269</c:v>
                </c:pt>
                <c:pt idx="26">
                  <c:v>45.919360478549358</c:v>
                </c:pt>
                <c:pt idx="27">
                  <c:v>46.497603615137571</c:v>
                </c:pt>
                <c:pt idx="28">
                  <c:v>47.074975164251029</c:v>
                </c:pt>
                <c:pt idx="29">
                  <c:v>47.651696928591413</c:v>
                </c:pt>
                <c:pt idx="30">
                  <c:v>48.227968915412141</c:v>
                </c:pt>
                <c:pt idx="31">
                  <c:v>48.803972005160439</c:v>
                </c:pt>
                <c:pt idx="32">
                  <c:v>49.379870223914402</c:v>
                </c:pt>
                <c:pt idx="33">
                  <c:v>49.955812688507145</c:v>
                </c:pt>
                <c:pt idx="34">
                  <c:v>50.531935279577979</c:v>
                </c:pt>
                <c:pt idx="35">
                  <c:v>51.108362087159279</c:v>
                </c:pt>
                <c:pt idx="36">
                  <c:v>51.685206665061905</c:v>
                </c:pt>
                <c:pt idx="37">
                  <c:v>52.262573123721509</c:v>
                </c:pt>
                <c:pt idx="38">
                  <c:v>52.840557085912131</c:v>
                </c:pt>
                <c:pt idx="39">
                  <c:v>53.419246525518972</c:v>
                </c:pt>
                <c:pt idx="40">
                  <c:v>53.998722506163482</c:v>
                </c:pt>
                <c:pt idx="41">
                  <c:v>54.579059833715633</c:v>
                </c:pt>
                <c:pt idx="42">
                  <c:v>55.16032763447803</c:v>
                </c:pt>
                <c:pt idx="43">
                  <c:v>55.742589868980495</c:v>
                </c:pt>
                <c:pt idx="44">
                  <c:v>56.325905789803073</c:v>
                </c:pt>
                <c:pt idx="45">
                  <c:v>56.910330350584175</c:v>
                </c:pt>
                <c:pt idx="46">
                  <c:v>57.495914572323642</c:v>
                </c:pt>
                <c:pt idx="47">
                  <c:v>58.082705872213523</c:v>
                </c:pt>
                <c:pt idx="48">
                  <c:v>58.670748359495327</c:v>
                </c:pt>
                <c:pt idx="49">
                  <c:v>59.26008310222285</c:v>
                </c:pt>
                <c:pt idx="50">
                  <c:v>59.850748368287803</c:v>
                </c:pt>
                <c:pt idx="51">
                  <c:v>60.101698915026887</c:v>
                </c:pt>
                <c:pt idx="52">
                  <c:v>59.605843264838846</c:v>
                </c:pt>
                <c:pt idx="53">
                  <c:v>59.12998095511248</c:v>
                </c:pt>
                <c:pt idx="54">
                  <c:v>58.673027663972064</c:v>
                </c:pt>
                <c:pt idx="55">
                  <c:v>58.233976178370838</c:v>
                </c:pt>
                <c:pt idx="56">
                  <c:v>57.811889633148901</c:v>
                </c:pt>
                <c:pt idx="57">
                  <c:v>57.405895451391842</c:v>
                </c:pt>
                <c:pt idx="58">
                  <c:v>57.015179902468851</c:v>
                </c:pt>
                <c:pt idx="59">
                  <c:v>56.638983205353313</c:v>
                </c:pt>
                <c:pt idx="60">
                  <c:v>56.276595114383881</c:v>
                </c:pt>
                <c:pt idx="61">
                  <c:v>55.927350932780016</c:v>
                </c:pt>
                <c:pt idx="62">
                  <c:v>55.590627906210848</c:v>
                </c:pt>
                <c:pt idx="63">
                  <c:v>55.265841954710076</c:v>
                </c:pt>
                <c:pt idx="64">
                  <c:v>54.952444706388818</c:v>
                </c:pt>
                <c:pt idx="65">
                  <c:v>54.649920800849614</c:v>
                </c:pt>
                <c:pt idx="66">
                  <c:v>54.357785434054477</c:v>
                </c:pt>
                <c:pt idx="67">
                  <c:v>54.075582119736595</c:v>
                </c:pt>
                <c:pt idx="68">
                  <c:v>53.802880645345589</c:v>
                </c:pt>
                <c:pt idx="69">
                  <c:v>53.539275203040056</c:v>
                </c:pt>
                <c:pt idx="70">
                  <c:v>53.284382678444778</c:v>
                </c:pt>
                <c:pt idx="71">
                  <c:v>53.037841081816509</c:v>
                </c:pt>
                <c:pt idx="72">
                  <c:v>52.799308107949479</c:v>
                </c:pt>
                <c:pt idx="73">
                  <c:v>52.568459812633989</c:v>
                </c:pt>
                <c:pt idx="74">
                  <c:v>52.344989394784605</c:v>
                </c:pt>
                <c:pt idx="75">
                  <c:v>52.128606074502045</c:v>
                </c:pt>
                <c:pt idx="76">
                  <c:v>51.919034058347293</c:v>
                </c:pt>
                <c:pt idx="77">
                  <c:v>51.716011584002366</c:v>
                </c:pt>
                <c:pt idx="78">
                  <c:v>51.519290037285216</c:v>
                </c:pt>
                <c:pt idx="79">
                  <c:v>51.328633135191772</c:v>
                </c:pt>
                <c:pt idx="80">
                  <c:v>51.143816169262678</c:v>
                </c:pt>
                <c:pt idx="81">
                  <c:v>50.964625304129868</c:v>
                </c:pt>
                <c:pt idx="82">
                  <c:v>50.79085692659433</c:v>
                </c:pt>
                <c:pt idx="83">
                  <c:v>50.762523021424926</c:v>
                </c:pt>
                <c:pt idx="84">
                  <c:v>50.88422111484175</c:v>
                </c:pt>
                <c:pt idx="85">
                  <c:v>51.005696795587475</c:v>
                </c:pt>
                <c:pt idx="86">
                  <c:v>51.126956297507881</c:v>
                </c:pt>
                <c:pt idx="87">
                  <c:v>51.24800555483418</c:v>
                </c:pt>
                <c:pt idx="88">
                  <c:v>51.368850218854007</c:v>
                </c:pt>
                <c:pt idx="89">
                  <c:v>51.489495673546159</c:v>
                </c:pt>
                <c:pt idx="90">
                  <c:v>51.609947050251527</c:v>
                </c:pt>
                <c:pt idx="91">
                  <c:v>51.730209241446296</c:v>
                </c:pt>
                <c:pt idx="92">
                  <c:v>51.85028691367863</c:v>
                </c:pt>
                <c:pt idx="93">
                  <c:v>51.970184519725571</c:v>
                </c:pt>
                <c:pt idx="94">
                  <c:v>52.089906310022371</c:v>
                </c:pt>
                <c:pt idx="95">
                  <c:v>52.209456343412768</c:v>
                </c:pt>
                <c:pt idx="96">
                  <c:v>52.32883849726479</c:v>
                </c:pt>
                <c:pt idx="97">
                  <c:v>52.448056476994211</c:v>
                </c:pt>
                <c:pt idx="98">
                  <c:v>52.567113825033488</c:v>
                </c:pt>
                <c:pt idx="99">
                  <c:v>52.686013929282623</c:v>
                </c:pt>
                <c:pt idx="100">
                  <c:v>52.804760031074586</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8.9371785852889349</c:v>
                </c:pt>
                <c:pt idx="1">
                  <c:v>9.1468760323341876</c:v>
                </c:pt>
                <c:pt idx="2">
                  <c:v>9.467091823792277</c:v>
                </c:pt>
                <c:pt idx="3">
                  <c:v>9.7873076199569251</c:v>
                </c:pt>
                <c:pt idx="4">
                  <c:v>10.107523420828104</c:v>
                </c:pt>
                <c:pt idx="5">
                  <c:v>10.42773922640583</c:v>
                </c:pt>
                <c:pt idx="6">
                  <c:v>10.802343153533855</c:v>
                </c:pt>
                <c:pt idx="7">
                  <c:v>12.975491098022571</c:v>
                </c:pt>
                <c:pt idx="8">
                  <c:v>15.254242159168303</c:v>
                </c:pt>
                <c:pt idx="9">
                  <c:v>17.638323859763887</c:v>
                </c:pt>
                <c:pt idx="10">
                  <c:v>20.127479989159141</c:v>
                </c:pt>
                <c:pt idx="11">
                  <c:v>22.721467922452241</c:v>
                </c:pt>
                <c:pt idx="12">
                  <c:v>25.420056602350812</c:v>
                </c:pt>
                <c:pt idx="13">
                  <c:v>27.586851241429635</c:v>
                </c:pt>
                <c:pt idx="14">
                  <c:v>29.701979925966913</c:v>
                </c:pt>
                <c:pt idx="15">
                  <c:v>31.816455659974473</c:v>
                </c:pt>
                <c:pt idx="16">
                  <c:v>33.930310377818117</c:v>
                </c:pt>
                <c:pt idx="17">
                  <c:v>36.043572944276526</c:v>
                </c:pt>
                <c:pt idx="18">
                  <c:v>38.156269614888771</c:v>
                </c:pt>
                <c:pt idx="19">
                  <c:v>40.268424405148096</c:v>
                </c:pt>
                <c:pt idx="20">
                  <c:v>42.380059390511491</c:v>
                </c:pt>
                <c:pt idx="21">
                  <c:v>44.491194953049778</c:v>
                </c:pt>
                <c:pt idx="22">
                  <c:v>46.601849986351269</c:v>
                </c:pt>
                <c:pt idx="23">
                  <c:v>48.712042067344704</c:v>
                </c:pt>
                <c:pt idx="24">
                  <c:v>50.821787601605209</c:v>
                </c:pt>
                <c:pt idx="25">
                  <c:v>52.931101947182334</c:v>
                </c:pt>
                <c:pt idx="26">
                  <c:v>55.039999520865415</c:v>
                </c:pt>
                <c:pt idx="27">
                  <c:v>57.148493889964442</c:v>
                </c:pt>
                <c:pt idx="28">
                  <c:v>59.256597852048188</c:v>
                </c:pt>
                <c:pt idx="29">
                  <c:v>61.364323504597699</c:v>
                </c:pt>
                <c:pt idx="30">
                  <c:v>63.471682306157348</c:v>
                </c:pt>
                <c:pt idx="31">
                  <c:v>65.578685130272149</c:v>
                </c:pt>
                <c:pt idx="32">
                  <c:v>67.685342313269416</c:v>
                </c:pt>
                <c:pt idx="33">
                  <c:v>69.791663696759102</c:v>
                </c:pt>
                <c:pt idx="34">
                  <c:v>71.897658665580067</c:v>
                </c:pt>
                <c:pt idx="35">
                  <c:v>74.003336181800691</c:v>
                </c:pt>
                <c:pt idx="36">
                  <c:v>76.108704815285719</c:v>
                </c:pt>
                <c:pt idx="37">
                  <c:v>78.213772771262541</c:v>
                </c:pt>
                <c:pt idx="38">
                  <c:v>80.318547915254996</c:v>
                </c:pt>
                <c:pt idx="39">
                  <c:v>82.423037795699216</c:v>
                </c:pt>
                <c:pt idx="40">
                  <c:v>84.527249664511118</c:v>
                </c:pt>
                <c:pt idx="41">
                  <c:v>86.631190495837657</c:v>
                </c:pt>
                <c:pt idx="42">
                  <c:v>88.734867003193713</c:v>
                </c:pt>
                <c:pt idx="43">
                  <c:v>90.838285655157279</c:v>
                </c:pt>
                <c:pt idx="44">
                  <c:v>92.941452689777066</c:v>
                </c:pt>
                <c:pt idx="45">
                  <c:v>95.044374127823275</c:v>
                </c:pt>
                <c:pt idx="46">
                  <c:v>97.147055784999608</c:v>
                </c:pt>
                <c:pt idx="47">
                  <c:v>99.249503283217805</c:v>
                </c:pt>
                <c:pt idx="48">
                  <c:v>101.35172206102602</c:v>
                </c:pt>
                <c:pt idx="49">
                  <c:v>103.45371738326992</c:v>
                </c:pt>
                <c:pt idx="50">
                  <c:v>105.55549435005857</c:v>
                </c:pt>
                <c:pt idx="51">
                  <c:v>107.46352760140864</c:v>
                </c:pt>
                <c:pt idx="52">
                  <c:v>108.94003059569904</c:v>
                </c:pt>
                <c:pt idx="53">
                  <c:v>110.41700571083157</c:v>
                </c:pt>
                <c:pt idx="54">
                  <c:v>111.89444857353438</c:v>
                </c:pt>
                <c:pt idx="55">
                  <c:v>113.37235501762515</c:v>
                </c:pt>
                <c:pt idx="56">
                  <c:v>114.85072107086819</c:v>
                </c:pt>
                <c:pt idx="57">
                  <c:v>116.32954294288476</c:v>
                </c:pt>
                <c:pt idx="58">
                  <c:v>117.80881701401461</c:v>
                </c:pt>
                <c:pt idx="59">
                  <c:v>119.28853982503895</c:v>
                </c:pt>
                <c:pt idx="60">
                  <c:v>120.76870806768552</c:v>
                </c:pt>
                <c:pt idx="61">
                  <c:v>122.24931857584313</c:v>
                </c:pt>
                <c:pt idx="62">
                  <c:v>123.73036831742284</c:v>
                </c:pt>
                <c:pt idx="63">
                  <c:v>125.21185438680831</c:v>
                </c:pt>
                <c:pt idx="64">
                  <c:v>126.69377399784376</c:v>
                </c:pt>
                <c:pt idx="65">
                  <c:v>128.17612447731395</c:v>
                </c:pt>
                <c:pt idx="66">
                  <c:v>129.65890325887429</c:v>
                </c:pt>
                <c:pt idx="67">
                  <c:v>131.14210787739404</c:v>
                </c:pt>
                <c:pt idx="68">
                  <c:v>132.62573596367812</c:v>
                </c:pt>
                <c:pt idx="69">
                  <c:v>134.10978523953798</c:v>
                </c:pt>
                <c:pt idx="70">
                  <c:v>135.59425351318271</c:v>
                </c:pt>
                <c:pt idx="71">
                  <c:v>137.07913867490632</c:v>
                </c:pt>
                <c:pt idx="72">
                  <c:v>138.56443869304729</c:v>
                </c:pt>
                <c:pt idx="73">
                  <c:v>140.05015161020054</c:v>
                </c:pt>
                <c:pt idx="74">
                  <c:v>141.53627553966234</c:v>
                </c:pt>
                <c:pt idx="75">
                  <c:v>143.02280866209097</c:v>
                </c:pt>
                <c:pt idx="76">
                  <c:v>144.50974922236713</c:v>
                </c:pt>
                <c:pt idx="77">
                  <c:v>145.99709552664078</c:v>
                </c:pt>
                <c:pt idx="78">
                  <c:v>147.48484593954896</c:v>
                </c:pt>
                <c:pt idx="79">
                  <c:v>148.97299888159543</c:v>
                </c:pt>
                <c:pt idx="80">
                  <c:v>150.46155282667752</c:v>
                </c:pt>
                <c:pt idx="81">
                  <c:v>151.95050629975364</c:v>
                </c:pt>
                <c:pt idx="82">
                  <c:v>153.43985787463924</c:v>
                </c:pt>
                <c:pt idx="83">
                  <c:v>155.02391178205829</c:v>
                </c:pt>
                <c:pt idx="84">
                  <c:v>156.70676151368991</c:v>
                </c:pt>
                <c:pt idx="85">
                  <c:v>158.38769924855652</c:v>
                </c:pt>
                <c:pt idx="86">
                  <c:v>160.06676629380178</c:v>
                </c:pt>
                <c:pt idx="87">
                  <c:v>161.74400295220411</c:v>
                </c:pt>
                <c:pt idx="88">
                  <c:v>163.41944855257663</c:v>
                </c:pt>
                <c:pt idx="89">
                  <c:v>165.09314147906696</c:v>
                </c:pt>
                <c:pt idx="90">
                  <c:v>166.7651191994027</c:v>
                </c:pt>
                <c:pt idx="91">
                  <c:v>168.43541829212836</c:v>
                </c:pt>
                <c:pt idx="92">
                  <c:v>170.10407447287369</c:v>
                </c:pt>
                <c:pt idx="93">
                  <c:v>171.77112261969478</c:v>
                </c:pt>
                <c:pt idx="94">
                  <c:v>173.43659679752599</c:v>
                </c:pt>
                <c:pt idx="95">
                  <c:v>175.10053028177907</c:v>
                </c:pt>
                <c:pt idx="96">
                  <c:v>176.76295558112298</c:v>
                </c:pt>
                <c:pt idx="97">
                  <c:v>178.42390445947933</c:v>
                </c:pt>
                <c:pt idx="98">
                  <c:v>180.08340795726349</c:v>
                </c:pt>
                <c:pt idx="99">
                  <c:v>181.74149641190235</c:v>
                </c:pt>
                <c:pt idx="100">
                  <c:v>183.39819947765656</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347.15068191806546</c:v>
                </c:pt>
                <c:pt idx="45">
                  <c:v>339.43622231988616</c:v>
                </c:pt>
                <c:pt idx="46">
                  <c:v>332.05717400858424</c:v>
                </c:pt>
                <c:pt idx="47">
                  <c:v>324.99212775308251</c:v>
                </c:pt>
                <c:pt idx="48">
                  <c:v>318.22145842489323</c:v>
                </c:pt>
                <c:pt idx="49">
                  <c:v>311.72714294683431</c:v>
                </c:pt>
                <c:pt idx="50">
                  <c:v>305.49260008789759</c:v>
                </c:pt>
                <c:pt idx="51">
                  <c:v>299.50254910578195</c:v>
                </c:pt>
                <c:pt idx="52">
                  <c:v>293.74288469990148</c:v>
                </c:pt>
                <c:pt idx="53">
                  <c:v>288.20056612065804</c:v>
                </c:pt>
                <c:pt idx="54">
                  <c:v>282.86351859990509</c:v>
                </c:pt>
                <c:pt idx="55">
                  <c:v>277.72054553445236</c:v>
                </c:pt>
                <c:pt idx="56">
                  <c:v>272.76125007847992</c:v>
                </c:pt>
                <c:pt idx="57">
                  <c:v>267.97596498938378</c:v>
                </c:pt>
                <c:pt idx="58">
                  <c:v>263.35568973094627</c:v>
                </c:pt>
                <c:pt idx="59">
                  <c:v>258.89203397279459</c:v>
                </c:pt>
                <c:pt idx="60">
                  <c:v>254.57716673991465</c:v>
                </c:pt>
                <c:pt idx="61">
                  <c:v>250.40377056385049</c:v>
                </c:pt>
                <c:pt idx="62">
                  <c:v>246.36500007088515</c:v>
                </c:pt>
                <c:pt idx="63">
                  <c:v>242.45444451420445</c:v>
                </c:pt>
                <c:pt idx="64">
                  <c:v>238.66609381867002</c:v>
                </c:pt>
                <c:pt idx="65">
                  <c:v>234.99430775992121</c:v>
                </c:pt>
                <c:pt idx="66">
                  <c:v>231.43378794537688</c:v>
                </c:pt>
                <c:pt idx="67">
                  <c:v>227.97955230440115</c:v>
                </c:pt>
                <c:pt idx="68">
                  <c:v>224.62691182933642</c:v>
                </c:pt>
                <c:pt idx="69">
                  <c:v>221.37144933905626</c:v>
                </c:pt>
                <c:pt idx="70">
                  <c:v>218.20900006278399</c:v>
                </c:pt>
                <c:pt idx="71">
                  <c:v>215.13563386471662</c:v>
                </c:pt>
                <c:pt idx="72">
                  <c:v>212.14763894992888</c:v>
                </c:pt>
                <c:pt idx="73">
                  <c:v>209.2415069095189</c:v>
                </c:pt>
                <c:pt idx="74">
                  <c:v>206.41391897830925</c:v>
                </c:pt>
                <c:pt idx="75">
                  <c:v>203.66173339193173</c:v>
                </c:pt>
                <c:pt idx="76">
                  <c:v>200.98197374203781</c:v>
                </c:pt>
                <c:pt idx="77">
                  <c:v>198.99313715265509</c:v>
                </c:pt>
                <c:pt idx="78">
                  <c:v>197.83534138574859</c:v>
                </c:pt>
                <c:pt idx="79">
                  <c:v>196.69156082053618</c:v>
                </c:pt>
                <c:pt idx="80">
                  <c:v>195.56154250546746</c:v>
                </c:pt>
                <c:pt idx="81">
                  <c:v>194.445039539741</c:v>
                </c:pt>
                <c:pt idx="82">
                  <c:v>193.34181089345807</c:v>
                </c:pt>
                <c:pt idx="83">
                  <c:v>192.25162123415288</c:v>
                </c:pt>
                <c:pt idx="84">
                  <c:v>191.17424075943794</c:v>
                </c:pt>
                <c:pt idx="85">
                  <c:v>190.10944503551329</c:v>
                </c:pt>
                <c:pt idx="86">
                  <c:v>189.05701484130265</c:v>
                </c:pt>
                <c:pt idx="87">
                  <c:v>188.01673601798751</c:v>
                </c:pt>
                <c:pt idx="88">
                  <c:v>186.98839932372414</c:v>
                </c:pt>
                <c:pt idx="89">
                  <c:v>185.97180029333467</c:v>
                </c:pt>
                <c:pt idx="90">
                  <c:v>184.9667391027757</c:v>
                </c:pt>
                <c:pt idx="91">
                  <c:v>183.9730204381959</c:v>
                </c:pt>
                <c:pt idx="92">
                  <c:v>182.99045336940137</c:v>
                </c:pt>
                <c:pt idx="93">
                  <c:v>182.01885122755732</c:v>
                </c:pt>
                <c:pt idx="94">
                  <c:v>181.05803148696177</c:v>
                </c:pt>
                <c:pt idx="95">
                  <c:v>180.10781565073293</c:v>
                </c:pt>
                <c:pt idx="96">
                  <c:v>179.1680291402615</c:v>
                </c:pt>
                <c:pt idx="97">
                  <c:v>178.2385011882819</c:v>
                </c:pt>
                <c:pt idx="98">
                  <c:v>177.31906473542742</c:v>
                </c:pt>
                <c:pt idx="99">
                  <c:v>176.40955633013547</c:v>
                </c:pt>
                <c:pt idx="100">
                  <c:v>175.50981603177814</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347.87597831697911</c:v>
                </c:pt>
                <c:pt idx="52">
                  <c:v>341.18605565703723</c:v>
                </c:pt>
                <c:pt idx="53">
                  <c:v>334.74858290879121</c:v>
                </c:pt>
                <c:pt idx="54">
                  <c:v>328.54953507714697</c:v>
                </c:pt>
                <c:pt idx="55">
                  <c:v>322.57590716665339</c:v>
                </c:pt>
                <c:pt idx="56">
                  <c:v>316.815623110106</c:v>
                </c:pt>
                <c:pt idx="57">
                  <c:v>311.25745428361296</c:v>
                </c:pt>
                <c:pt idx="58">
                  <c:v>305.89094645113693</c:v>
                </c:pt>
                <c:pt idx="59">
                  <c:v>300.70635413840574</c:v>
                </c:pt>
                <c:pt idx="60">
                  <c:v>295.69458156943233</c:v>
                </c:pt>
                <c:pt idx="61">
                  <c:v>290.84712941255634</c:v>
                </c:pt>
                <c:pt idx="62">
                  <c:v>286.15604668009576</c:v>
                </c:pt>
                <c:pt idx="63">
                  <c:v>281.61388720898316</c:v>
                </c:pt>
                <c:pt idx="64">
                  <c:v>277.21367022134274</c:v>
                </c:pt>
                <c:pt idx="65">
                  <c:v>272.94884452562974</c:v>
                </c:pt>
                <c:pt idx="66">
                  <c:v>268.81325597221115</c:v>
                </c:pt>
                <c:pt idx="67">
                  <c:v>264.80111782337224</c:v>
                </c:pt>
                <c:pt idx="68">
                  <c:v>260.90698373773438</c:v>
                </c:pt>
                <c:pt idx="69">
                  <c:v>257.12572310385423</c:v>
                </c:pt>
                <c:pt idx="70">
                  <c:v>253.45249848808481</c:v>
                </c:pt>
                <c:pt idx="71">
                  <c:v>249.88274498825268</c:v>
                </c:pt>
                <c:pt idx="72">
                  <c:v>246.41215130786026</c:v>
                </c:pt>
                <c:pt idx="73">
                  <c:v>243.03664238583474</c:v>
                </c:pt>
                <c:pt idx="74">
                  <c:v>239.75236343467483</c:v>
                </c:pt>
                <c:pt idx="75">
                  <c:v>236.55566525554582</c:v>
                </c:pt>
                <c:pt idx="76">
                  <c:v>233.44309071270965</c:v>
                </c:pt>
                <c:pt idx="77">
                  <c:v>230.41136226189519</c:v>
                </c:pt>
                <c:pt idx="78">
                  <c:v>227.45737043802481</c:v>
                </c:pt>
                <c:pt idx="79">
                  <c:v>224.5781632172903</c:v>
                </c:pt>
                <c:pt idx="80">
                  <c:v>221.77093617707413</c:v>
                </c:pt>
                <c:pt idx="81">
                  <c:v>219.03302338476459</c:v>
                </c:pt>
                <c:pt idx="82">
                  <c:v>216.36188895324315</c:v>
                </c:pt>
                <c:pt idx="83">
                  <c:v>214.40116250826429</c:v>
                </c:pt>
                <c:pt idx="84">
                  <c:v>213.1540543178829</c:v>
                </c:pt>
                <c:pt idx="85">
                  <c:v>211.92199042789036</c:v>
                </c:pt>
                <c:pt idx="86">
                  <c:v>210.7047002434746</c:v>
                </c:pt>
                <c:pt idx="87">
                  <c:v>209.50191962056473</c:v>
                </c:pt>
                <c:pt idx="88">
                  <c:v>208.31339067474542</c:v>
                </c:pt>
                <c:pt idx="89">
                  <c:v>207.13886159692254</c:v>
                </c:pt>
                <c:pt idx="90">
                  <c:v>205.97808647546589</c:v>
                </c:pt>
                <c:pt idx="91">
                  <c:v>204.83082512456284</c:v>
                </c:pt>
                <c:pt idx="92">
                  <c:v>203.69684291853261</c:v>
                </c:pt>
                <c:pt idx="93">
                  <c:v>202.57591063186078</c:v>
                </c:pt>
                <c:pt idx="94">
                  <c:v>201.46780428472451</c:v>
                </c:pt>
                <c:pt idx="95">
                  <c:v>200.37230499379052</c:v>
                </c:pt>
                <c:pt idx="96">
                  <c:v>199.28919882807665</c:v>
                </c:pt>
                <c:pt idx="97">
                  <c:v>198.21827666967778</c:v>
                </c:pt>
                <c:pt idx="98">
                  <c:v>197.15933407916518</c:v>
                </c:pt>
                <c:pt idx="99">
                  <c:v>196.11217116547851</c:v>
                </c:pt>
                <c:pt idx="100">
                  <c:v>195.07659246013512</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345.79480981280562</c:v>
                </c:pt>
                <c:pt idx="84">
                  <c:v>341.6782049340818</c:v>
                </c:pt>
                <c:pt idx="85">
                  <c:v>337.658461346622</c:v>
                </c:pt>
                <c:pt idx="86">
                  <c:v>333.73220016817288</c:v>
                </c:pt>
                <c:pt idx="87">
                  <c:v>329.89619786738939</c:v>
                </c:pt>
                <c:pt idx="88">
                  <c:v>326.14737743707803</c:v>
                </c:pt>
                <c:pt idx="89">
                  <c:v>322.48280016250419</c:v>
                </c:pt>
                <c:pt idx="90">
                  <c:v>318.89965793847642</c:v>
                </c:pt>
                <c:pt idx="91">
                  <c:v>315.3952660929985</c:v>
                </c:pt>
                <c:pt idx="92">
                  <c:v>311.96705667894429</c:v>
                </c:pt>
                <c:pt idx="93">
                  <c:v>308.61257219852547</c:v>
                </c:pt>
                <c:pt idx="94">
                  <c:v>305.32945972832846</c:v>
                </c:pt>
                <c:pt idx="95">
                  <c:v>302.11546541539866</c:v>
                </c:pt>
                <c:pt idx="96">
                  <c:v>298.96842931732158</c:v>
                </c:pt>
                <c:pt idx="97">
                  <c:v>295.88628056147292</c:v>
                </c:pt>
                <c:pt idx="98">
                  <c:v>292.8670328006416</c:v>
                </c:pt>
                <c:pt idx="99">
                  <c:v>289.90877994406952</c:v>
                </c:pt>
                <c:pt idx="100">
                  <c:v>287.00969214462879</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198.99313715265509</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347.15068191806546</c:v>
                </c:pt>
                <c:pt idx="45">
                  <c:v>339.43622231988616</c:v>
                </c:pt>
                <c:pt idx="46">
                  <c:v>332.05717400858424</c:v>
                </c:pt>
                <c:pt idx="47">
                  <c:v>324.99212775308251</c:v>
                </c:pt>
                <c:pt idx="48">
                  <c:v>318.22145842489323</c:v>
                </c:pt>
                <c:pt idx="49">
                  <c:v>311.72714294683431</c:v>
                </c:pt>
                <c:pt idx="50">
                  <c:v>305.49260008789759</c:v>
                </c:pt>
                <c:pt idx="51">
                  <c:v>299.50254910578195</c:v>
                </c:pt>
                <c:pt idx="52">
                  <c:v>293.74288469990148</c:v>
                </c:pt>
                <c:pt idx="53">
                  <c:v>288.20056612065804</c:v>
                </c:pt>
                <c:pt idx="54">
                  <c:v>282.86351859990509</c:v>
                </c:pt>
                <c:pt idx="55">
                  <c:v>277.72054553445236</c:v>
                </c:pt>
                <c:pt idx="56">
                  <c:v>272.76125007847992</c:v>
                </c:pt>
                <c:pt idx="57">
                  <c:v>267.97596498938378</c:v>
                </c:pt>
                <c:pt idx="58">
                  <c:v>263.35568973094627</c:v>
                </c:pt>
                <c:pt idx="59">
                  <c:v>258.89203397279459</c:v>
                </c:pt>
                <c:pt idx="60">
                  <c:v>254.57716673991465</c:v>
                </c:pt>
                <c:pt idx="61">
                  <c:v>250.40377056385049</c:v>
                </c:pt>
                <c:pt idx="62">
                  <c:v>246.36500007088515</c:v>
                </c:pt>
                <c:pt idx="63">
                  <c:v>242.45444451420445</c:v>
                </c:pt>
                <c:pt idx="64">
                  <c:v>238.66609381867002</c:v>
                </c:pt>
                <c:pt idx="65">
                  <c:v>234.99430775992121</c:v>
                </c:pt>
                <c:pt idx="66">
                  <c:v>231.43378794537688</c:v>
                </c:pt>
                <c:pt idx="67">
                  <c:v>227.97955230440115</c:v>
                </c:pt>
                <c:pt idx="68">
                  <c:v>224.62691182933642</c:v>
                </c:pt>
                <c:pt idx="69">
                  <c:v>221.37144933905626</c:v>
                </c:pt>
                <c:pt idx="70">
                  <c:v>218.20900006278399</c:v>
                </c:pt>
                <c:pt idx="71">
                  <c:v>215.13563386471662</c:v>
                </c:pt>
                <c:pt idx="72">
                  <c:v>212.14763894992888</c:v>
                </c:pt>
                <c:pt idx="73">
                  <c:v>209.2415069095189</c:v>
                </c:pt>
                <c:pt idx="74">
                  <c:v>206.41391897830925</c:v>
                </c:pt>
                <c:pt idx="75">
                  <c:v>203.66173339193173</c:v>
                </c:pt>
                <c:pt idx="76">
                  <c:v>200.98197374203781</c:v>
                </c:pt>
                <c:pt idx="77">
                  <c:v>198.99313715265509</c:v>
                </c:pt>
                <c:pt idx="78">
                  <c:v>197.83534138574859</c:v>
                </c:pt>
                <c:pt idx="79">
                  <c:v>196.69156082053618</c:v>
                </c:pt>
                <c:pt idx="80">
                  <c:v>195.56154250546746</c:v>
                </c:pt>
                <c:pt idx="81">
                  <c:v>194.445039539741</c:v>
                </c:pt>
                <c:pt idx="82">
                  <c:v>193.34181089345807</c:v>
                </c:pt>
                <c:pt idx="83">
                  <c:v>192.25162123415288</c:v>
                </c:pt>
                <c:pt idx="84">
                  <c:v>191.17424075943794</c:v>
                </c:pt>
                <c:pt idx="85">
                  <c:v>190.10944503551329</c:v>
                </c:pt>
                <c:pt idx="86">
                  <c:v>189.05701484130265</c:v>
                </c:pt>
                <c:pt idx="87">
                  <c:v>188.01673601798751</c:v>
                </c:pt>
                <c:pt idx="88">
                  <c:v>186.98839932372414</c:v>
                </c:pt>
                <c:pt idx="89">
                  <c:v>185.97180029333467</c:v>
                </c:pt>
                <c:pt idx="90">
                  <c:v>184.9667391027757</c:v>
                </c:pt>
                <c:pt idx="91">
                  <c:v>183.9730204381959</c:v>
                </c:pt>
                <c:pt idx="92">
                  <c:v>182.99045336940137</c:v>
                </c:pt>
                <c:pt idx="93">
                  <c:v>182.01885122755732</c:v>
                </c:pt>
                <c:pt idx="94">
                  <c:v>181.05803148696177</c:v>
                </c:pt>
                <c:pt idx="95">
                  <c:v>180.10781565073293</c:v>
                </c:pt>
                <c:pt idx="96">
                  <c:v>179.1680291402615</c:v>
                </c:pt>
                <c:pt idx="97">
                  <c:v>178.2385011882819</c:v>
                </c:pt>
                <c:pt idx="98">
                  <c:v>177.31906473542742</c:v>
                </c:pt>
                <c:pt idx="99">
                  <c:v>176.40955633013547</c:v>
                </c:pt>
                <c:pt idx="100">
                  <c:v>175.50981603177814</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347.87597831697911</c:v>
                </c:pt>
                <c:pt idx="52">
                  <c:v>341.18605565703723</c:v>
                </c:pt>
                <c:pt idx="53">
                  <c:v>334.74858290879121</c:v>
                </c:pt>
                <c:pt idx="54">
                  <c:v>328.54953507714697</c:v>
                </c:pt>
                <c:pt idx="55">
                  <c:v>322.57590716665339</c:v>
                </c:pt>
                <c:pt idx="56">
                  <c:v>316.815623110106</c:v>
                </c:pt>
                <c:pt idx="57">
                  <c:v>311.25745428361296</c:v>
                </c:pt>
                <c:pt idx="58">
                  <c:v>305.89094645113693</c:v>
                </c:pt>
                <c:pt idx="59">
                  <c:v>300.70635413840574</c:v>
                </c:pt>
                <c:pt idx="60">
                  <c:v>295.69458156943233</c:v>
                </c:pt>
                <c:pt idx="61">
                  <c:v>290.84712941255634</c:v>
                </c:pt>
                <c:pt idx="62">
                  <c:v>286.15604668009576</c:v>
                </c:pt>
                <c:pt idx="63">
                  <c:v>281.61388720898316</c:v>
                </c:pt>
                <c:pt idx="64">
                  <c:v>277.21367022134274</c:v>
                </c:pt>
                <c:pt idx="65">
                  <c:v>272.94884452562974</c:v>
                </c:pt>
                <c:pt idx="66">
                  <c:v>268.81325597221115</c:v>
                </c:pt>
                <c:pt idx="67">
                  <c:v>264.80111782337224</c:v>
                </c:pt>
                <c:pt idx="68">
                  <c:v>260.90698373773438</c:v>
                </c:pt>
                <c:pt idx="69">
                  <c:v>257.12572310385423</c:v>
                </c:pt>
                <c:pt idx="70">
                  <c:v>253.45249848808481</c:v>
                </c:pt>
                <c:pt idx="71">
                  <c:v>249.88274498825268</c:v>
                </c:pt>
                <c:pt idx="72">
                  <c:v>246.41215130786026</c:v>
                </c:pt>
                <c:pt idx="73">
                  <c:v>243.03664238583474</c:v>
                </c:pt>
                <c:pt idx="74">
                  <c:v>239.75236343467483</c:v>
                </c:pt>
                <c:pt idx="75">
                  <c:v>236.55566525554582</c:v>
                </c:pt>
                <c:pt idx="76">
                  <c:v>233.44309071270965</c:v>
                </c:pt>
                <c:pt idx="77">
                  <c:v>230.41136226189519</c:v>
                </c:pt>
                <c:pt idx="78">
                  <c:v>227.45737043802481</c:v>
                </c:pt>
                <c:pt idx="79">
                  <c:v>224.5781632172903</c:v>
                </c:pt>
                <c:pt idx="80">
                  <c:v>221.77093617707413</c:v>
                </c:pt>
                <c:pt idx="81">
                  <c:v>219.03302338476459</c:v>
                </c:pt>
                <c:pt idx="82">
                  <c:v>216.36188895324315</c:v>
                </c:pt>
                <c:pt idx="83">
                  <c:v>214.40116250826429</c:v>
                </c:pt>
                <c:pt idx="84">
                  <c:v>213.1540543178829</c:v>
                </c:pt>
                <c:pt idx="85">
                  <c:v>211.92199042789036</c:v>
                </c:pt>
                <c:pt idx="86">
                  <c:v>210.7047002434746</c:v>
                </c:pt>
                <c:pt idx="87">
                  <c:v>209.50191962056473</c:v>
                </c:pt>
                <c:pt idx="88">
                  <c:v>208.31339067474542</c:v>
                </c:pt>
                <c:pt idx="89">
                  <c:v>207.13886159692254</c:v>
                </c:pt>
                <c:pt idx="90">
                  <c:v>205.97808647546589</c:v>
                </c:pt>
                <c:pt idx="91">
                  <c:v>204.83082512456284</c:v>
                </c:pt>
                <c:pt idx="92">
                  <c:v>203.69684291853261</c:v>
                </c:pt>
                <c:pt idx="93">
                  <c:v>202.57591063186078</c:v>
                </c:pt>
                <c:pt idx="94">
                  <c:v>201.46780428472451</c:v>
                </c:pt>
                <c:pt idx="95">
                  <c:v>200.37230499379052</c:v>
                </c:pt>
                <c:pt idx="96">
                  <c:v>199.28919882807665</c:v>
                </c:pt>
                <c:pt idx="97">
                  <c:v>198.21827666967778</c:v>
                </c:pt>
                <c:pt idx="98">
                  <c:v>197.15933407916518</c:v>
                </c:pt>
                <c:pt idx="99">
                  <c:v>196.11217116547851</c:v>
                </c:pt>
                <c:pt idx="100">
                  <c:v>195.07659246013512</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345.79480981280562</c:v>
                </c:pt>
                <c:pt idx="84">
                  <c:v>341.6782049340818</c:v>
                </c:pt>
                <c:pt idx="85">
                  <c:v>337.658461346622</c:v>
                </c:pt>
                <c:pt idx="86">
                  <c:v>333.73220016817288</c:v>
                </c:pt>
                <c:pt idx="87">
                  <c:v>329.89619786738939</c:v>
                </c:pt>
                <c:pt idx="88">
                  <c:v>326.14737743707803</c:v>
                </c:pt>
                <c:pt idx="89">
                  <c:v>322.48280016250419</c:v>
                </c:pt>
                <c:pt idx="90">
                  <c:v>318.89965793847642</c:v>
                </c:pt>
                <c:pt idx="91">
                  <c:v>315.3952660929985</c:v>
                </c:pt>
                <c:pt idx="92">
                  <c:v>311.96705667894429</c:v>
                </c:pt>
                <c:pt idx="93">
                  <c:v>308.61257219852547</c:v>
                </c:pt>
                <c:pt idx="94">
                  <c:v>305.32945972832846</c:v>
                </c:pt>
                <c:pt idx="95">
                  <c:v>302.11546541539866</c:v>
                </c:pt>
                <c:pt idx="96">
                  <c:v>298.96842931732158</c:v>
                </c:pt>
                <c:pt idx="97">
                  <c:v>295.88628056147292</c:v>
                </c:pt>
                <c:pt idx="98">
                  <c:v>292.8670328006416</c:v>
                </c:pt>
                <c:pt idx="99">
                  <c:v>289.90877994406952</c:v>
                </c:pt>
                <c:pt idx="100">
                  <c:v>287.00969214462879</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198.99313715265509</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13</c:v>
                </c:pt>
                <c:pt idx="1">
                  <c:v>13.13</c:v>
                </c:pt>
                <c:pt idx="2">
                  <c:v>13.26</c:v>
                </c:pt>
                <c:pt idx="3">
                  <c:v>13.39</c:v>
                </c:pt>
                <c:pt idx="4">
                  <c:v>13.52</c:v>
                </c:pt>
                <c:pt idx="5">
                  <c:v>13.65</c:v>
                </c:pt>
                <c:pt idx="6">
                  <c:v>13.78</c:v>
                </c:pt>
                <c:pt idx="7">
                  <c:v>13.91</c:v>
                </c:pt>
                <c:pt idx="8">
                  <c:v>14.04</c:v>
                </c:pt>
                <c:pt idx="9">
                  <c:v>14.17</c:v>
                </c:pt>
                <c:pt idx="10">
                  <c:v>14.3</c:v>
                </c:pt>
                <c:pt idx="11">
                  <c:v>14.43</c:v>
                </c:pt>
                <c:pt idx="12">
                  <c:v>14.56</c:v>
                </c:pt>
                <c:pt idx="13">
                  <c:v>14.69</c:v>
                </c:pt>
                <c:pt idx="14">
                  <c:v>14.82</c:v>
                </c:pt>
                <c:pt idx="15">
                  <c:v>14.95</c:v>
                </c:pt>
                <c:pt idx="16">
                  <c:v>15.08</c:v>
                </c:pt>
                <c:pt idx="17">
                  <c:v>15.21</c:v>
                </c:pt>
                <c:pt idx="18">
                  <c:v>15.34</c:v>
                </c:pt>
                <c:pt idx="19">
                  <c:v>15.47</c:v>
                </c:pt>
                <c:pt idx="20">
                  <c:v>15.6</c:v>
                </c:pt>
                <c:pt idx="21">
                  <c:v>15.73</c:v>
                </c:pt>
                <c:pt idx="22">
                  <c:v>15.86</c:v>
                </c:pt>
                <c:pt idx="23">
                  <c:v>15.99</c:v>
                </c:pt>
                <c:pt idx="24">
                  <c:v>16.12</c:v>
                </c:pt>
                <c:pt idx="25">
                  <c:v>16.25</c:v>
                </c:pt>
                <c:pt idx="26">
                  <c:v>16.38</c:v>
                </c:pt>
                <c:pt idx="27">
                  <c:v>16.510000000000002</c:v>
                </c:pt>
                <c:pt idx="28">
                  <c:v>16.64</c:v>
                </c:pt>
                <c:pt idx="29">
                  <c:v>16.77</c:v>
                </c:pt>
                <c:pt idx="30">
                  <c:v>16.899999999999999</c:v>
                </c:pt>
                <c:pt idx="31">
                  <c:v>17.03</c:v>
                </c:pt>
                <c:pt idx="32">
                  <c:v>17.16</c:v>
                </c:pt>
                <c:pt idx="33">
                  <c:v>17.29</c:v>
                </c:pt>
                <c:pt idx="34">
                  <c:v>17.420000000000002</c:v>
                </c:pt>
                <c:pt idx="35">
                  <c:v>17.55</c:v>
                </c:pt>
                <c:pt idx="36">
                  <c:v>17.68</c:v>
                </c:pt>
                <c:pt idx="37">
                  <c:v>17.809999999999999</c:v>
                </c:pt>
                <c:pt idx="38">
                  <c:v>17.940000000000001</c:v>
                </c:pt>
                <c:pt idx="39">
                  <c:v>18.07</c:v>
                </c:pt>
                <c:pt idx="40">
                  <c:v>18.2</c:v>
                </c:pt>
                <c:pt idx="41">
                  <c:v>18.329999999999998</c:v>
                </c:pt>
                <c:pt idx="42">
                  <c:v>18.46</c:v>
                </c:pt>
                <c:pt idx="43">
                  <c:v>18.59</c:v>
                </c:pt>
                <c:pt idx="44">
                  <c:v>18.72</c:v>
                </c:pt>
                <c:pt idx="45">
                  <c:v>18.850000000000001</c:v>
                </c:pt>
                <c:pt idx="46">
                  <c:v>18.98</c:v>
                </c:pt>
                <c:pt idx="47">
                  <c:v>19.11</c:v>
                </c:pt>
                <c:pt idx="48">
                  <c:v>19.240000000000002</c:v>
                </c:pt>
                <c:pt idx="49">
                  <c:v>19.37</c:v>
                </c:pt>
                <c:pt idx="50">
                  <c:v>19.5</c:v>
                </c:pt>
                <c:pt idx="51">
                  <c:v>19.63</c:v>
                </c:pt>
                <c:pt idx="52">
                  <c:v>19.759999999999998</c:v>
                </c:pt>
                <c:pt idx="53">
                  <c:v>19.89</c:v>
                </c:pt>
                <c:pt idx="54">
                  <c:v>20.02</c:v>
                </c:pt>
                <c:pt idx="55">
                  <c:v>20.149999999999999</c:v>
                </c:pt>
                <c:pt idx="56">
                  <c:v>20.28</c:v>
                </c:pt>
                <c:pt idx="57">
                  <c:v>20.41</c:v>
                </c:pt>
                <c:pt idx="58">
                  <c:v>20.54</c:v>
                </c:pt>
                <c:pt idx="59">
                  <c:v>20.67</c:v>
                </c:pt>
                <c:pt idx="60">
                  <c:v>20.8</c:v>
                </c:pt>
                <c:pt idx="61">
                  <c:v>20.93</c:v>
                </c:pt>
                <c:pt idx="62">
                  <c:v>21.060000000000002</c:v>
                </c:pt>
                <c:pt idx="63">
                  <c:v>21.189999999999998</c:v>
                </c:pt>
                <c:pt idx="64">
                  <c:v>21.32</c:v>
                </c:pt>
                <c:pt idx="65">
                  <c:v>21.450000000000003</c:v>
                </c:pt>
                <c:pt idx="66">
                  <c:v>21.58</c:v>
                </c:pt>
                <c:pt idx="67">
                  <c:v>21.71</c:v>
                </c:pt>
                <c:pt idx="68">
                  <c:v>21.84</c:v>
                </c:pt>
                <c:pt idx="69">
                  <c:v>21.97</c:v>
                </c:pt>
                <c:pt idx="70">
                  <c:v>22.1</c:v>
                </c:pt>
                <c:pt idx="71">
                  <c:v>22.23</c:v>
                </c:pt>
                <c:pt idx="72">
                  <c:v>22.36</c:v>
                </c:pt>
                <c:pt idx="73">
                  <c:v>22.490000000000002</c:v>
                </c:pt>
                <c:pt idx="74">
                  <c:v>22.619999999999997</c:v>
                </c:pt>
                <c:pt idx="75">
                  <c:v>22.75</c:v>
                </c:pt>
                <c:pt idx="76">
                  <c:v>22.880000000000003</c:v>
                </c:pt>
                <c:pt idx="77">
                  <c:v>23.009999999999998</c:v>
                </c:pt>
                <c:pt idx="78">
                  <c:v>23.14</c:v>
                </c:pt>
                <c:pt idx="79">
                  <c:v>23.27</c:v>
                </c:pt>
                <c:pt idx="80">
                  <c:v>23.4</c:v>
                </c:pt>
                <c:pt idx="81">
                  <c:v>23.53</c:v>
                </c:pt>
                <c:pt idx="82">
                  <c:v>23.66</c:v>
                </c:pt>
                <c:pt idx="83">
                  <c:v>23.79</c:v>
                </c:pt>
                <c:pt idx="84">
                  <c:v>23.92</c:v>
                </c:pt>
                <c:pt idx="85">
                  <c:v>24.049999999999997</c:v>
                </c:pt>
                <c:pt idx="86">
                  <c:v>24.18</c:v>
                </c:pt>
                <c:pt idx="87">
                  <c:v>24.310000000000002</c:v>
                </c:pt>
                <c:pt idx="88">
                  <c:v>24.439999999999998</c:v>
                </c:pt>
                <c:pt idx="89">
                  <c:v>24.57</c:v>
                </c:pt>
                <c:pt idx="90">
                  <c:v>24.700000000000003</c:v>
                </c:pt>
                <c:pt idx="91">
                  <c:v>24.83</c:v>
                </c:pt>
                <c:pt idx="92">
                  <c:v>24.96</c:v>
                </c:pt>
                <c:pt idx="93">
                  <c:v>25.09</c:v>
                </c:pt>
                <c:pt idx="94">
                  <c:v>25.22</c:v>
                </c:pt>
                <c:pt idx="95">
                  <c:v>25.35</c:v>
                </c:pt>
                <c:pt idx="96">
                  <c:v>25.48</c:v>
                </c:pt>
                <c:pt idx="97">
                  <c:v>25.61</c:v>
                </c:pt>
                <c:pt idx="98">
                  <c:v>25.740000000000002</c:v>
                </c:pt>
                <c:pt idx="99">
                  <c:v>25.869999999999997</c:v>
                </c:pt>
                <c:pt idx="100">
                  <c:v>26</c:v>
                </c:pt>
              </c:numCache>
            </c:numRef>
          </c:xVal>
          <c:yVal>
            <c:numRef>
              <c:f>'Fsw vs VIN'!$M$6:$M$106</c:f>
              <c:numCache>
                <c:formatCode>0.0</c:formatCode>
                <c:ptCount val="101"/>
                <c:pt idx="0">
                  <c:v>315.67568675749413</c:v>
                </c:pt>
                <c:pt idx="1">
                  <c:v>319.08459542734676</c:v>
                </c:pt>
                <c:pt idx="2">
                  <c:v>322.48055056222597</c:v>
                </c:pt>
                <c:pt idx="3">
                  <c:v>325.86348393010292</c:v>
                </c:pt>
                <c:pt idx="4">
                  <c:v>329.23333291230983</c:v>
                </c:pt>
                <c:pt idx="5">
                  <c:v>332.59004027969161</c:v>
                </c:pt>
                <c:pt idx="6">
                  <c:v>335.93355397736735</c:v>
                </c:pt>
                <c:pt idx="7">
                  <c:v>339.26382691775854</c:v>
                </c:pt>
                <c:pt idx="8">
                  <c:v>342.58081678154383</c:v>
                </c:pt>
                <c:pt idx="9">
                  <c:v>345.88448582622698</c:v>
                </c:pt>
                <c:pt idx="10">
                  <c:v>349.17480070200634</c:v>
                </c:pt>
                <c:pt idx="11">
                  <c:v>350</c:v>
                </c:pt>
                <c:pt idx="12">
                  <c:v>350</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0.1</c:v>
                </c:pt>
                <c:pt idx="1">
                  <c:v>1</c:v>
                </c:pt>
                <c:pt idx="2">
                  <c:v>2</c:v>
                </c:pt>
                <c:pt idx="3">
                  <c:v>3</c:v>
                </c:pt>
                <c:pt idx="100">
                  <c:v>100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0.1</c:v>
                </c:pt>
                <c:pt idx="1">
                  <c:v>1</c:v>
                </c:pt>
                <c:pt idx="2">
                  <c:v>2</c:v>
                </c:pt>
                <c:pt idx="3">
                  <c:v>3</c:v>
                </c:pt>
                <c:pt idx="100">
                  <c:v>100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Single'!$CD$5:$CD$105</c:f>
              <c:numCache>
                <c:formatCode>0.00</c:formatCode>
                <c:ptCount val="101"/>
                <c:pt idx="0">
                  <c:v>7.661144156275415E-5</c:v>
                </c:pt>
                <c:pt idx="1">
                  <c:v>41.085592374717464</c:v>
                </c:pt>
                <c:pt idx="2">
                  <c:v>55.012272803778075</c:v>
                </c:pt>
                <c:pt idx="3">
                  <c:v>62.019816150226958</c:v>
                </c:pt>
                <c:pt idx="4">
                  <c:v>66.238577726728778</c:v>
                </c:pt>
                <c:pt idx="5">
                  <c:v>69.05703000658589</c:v>
                </c:pt>
                <c:pt idx="6">
                  <c:v>71.073120882336397</c:v>
                </c:pt>
                <c:pt idx="7">
                  <c:v>72.58677704440008</c:v>
                </c:pt>
                <c:pt idx="8">
                  <c:v>73.765002157850574</c:v>
                </c:pt>
                <c:pt idx="9">
                  <c:v>74.708168832020021</c:v>
                </c:pt>
                <c:pt idx="10">
                  <c:v>75.480235209885834</c:v>
                </c:pt>
                <c:pt idx="11">
                  <c:v>76.0381739079276</c:v>
                </c:pt>
                <c:pt idx="12">
                  <c:v>75.95625721002699</c:v>
                </c:pt>
                <c:pt idx="13">
                  <c:v>76.616572504263232</c:v>
                </c:pt>
                <c:pt idx="14">
                  <c:v>77.257410589916446</c:v>
                </c:pt>
                <c:pt idx="15">
                  <c:v>77.825295986710827</c:v>
                </c:pt>
                <c:pt idx="16">
                  <c:v>78.332344807781624</c:v>
                </c:pt>
                <c:pt idx="17">
                  <c:v>78.788107060390146</c:v>
                </c:pt>
                <c:pt idx="18">
                  <c:v>79.200214918226678</c:v>
                </c:pt>
                <c:pt idx="19">
                  <c:v>79.574843378489263</c:v>
                </c:pt>
                <c:pt idx="20">
                  <c:v>79.917043852609609</c:v>
                </c:pt>
                <c:pt idx="21">
                  <c:v>80.230989861756967</c:v>
                </c:pt>
                <c:pt idx="22">
                  <c:v>80.520160771280459</c:v>
                </c:pt>
                <c:pt idx="23">
                  <c:v>80.787481094695337</c:v>
                </c:pt>
                <c:pt idx="24">
                  <c:v>81.035427441593015</c:v>
                </c:pt>
                <c:pt idx="25">
                  <c:v>81.266111568560447</c:v>
                </c:pt>
                <c:pt idx="26">
                  <c:v>81.481345552062777</c:v>
                </c:pt>
                <c:pt idx="27">
                  <c:v>81.682693427284534</c:v>
                </c:pt>
                <c:pt idx="28">
                  <c:v>81.871512469288476</c:v>
                </c:pt>
                <c:pt idx="29">
                  <c:v>82.04898646721746</c:v>
                </c:pt>
                <c:pt idx="30">
                  <c:v>82.216152750740264</c:v>
                </c:pt>
                <c:pt idx="31">
                  <c:v>82.37392429896002</c:v>
                </c:pt>
                <c:pt idx="32">
                  <c:v>82.523107947360401</c:v>
                </c:pt>
                <c:pt idx="33">
                  <c:v>82.664419475144456</c:v>
                </c:pt>
                <c:pt idx="34">
                  <c:v>82.798496180743143</c:v>
                </c:pt>
                <c:pt idx="35">
                  <c:v>82.925907421383556</c:v>
                </c:pt>
                <c:pt idx="36">
                  <c:v>83.047163492104929</c:v>
                </c:pt>
                <c:pt idx="37">
                  <c:v>83.162723142402669</c:v>
                </c:pt>
                <c:pt idx="38">
                  <c:v>83.272999968912757</c:v>
                </c:pt>
                <c:pt idx="39">
                  <c:v>83.378367875945159</c:v>
                </c:pt>
                <c:pt idx="40">
                  <c:v>83.479165759090094</c:v>
                </c:pt>
                <c:pt idx="41">
                  <c:v>83.575701538212485</c:v>
                </c:pt>
                <c:pt idx="42">
                  <c:v>83.6682556431699</c:v>
                </c:pt>
                <c:pt idx="43">
                  <c:v>83.757084037212991</c:v>
                </c:pt>
                <c:pt idx="44">
                  <c:v>83.842420848253624</c:v>
                </c:pt>
                <c:pt idx="45">
                  <c:v>83.924480666243966</c:v>
                </c:pt>
                <c:pt idx="46">
                  <c:v>84.003460555209671</c:v>
                </c:pt>
                <c:pt idx="47">
                  <c:v>84.079541820563293</c:v>
                </c:pt>
                <c:pt idx="48">
                  <c:v>84.152891565832064</c:v>
                </c:pt>
                <c:pt idx="49">
                  <c:v>84.223664067589098</c:v>
                </c:pt>
                <c:pt idx="50">
                  <c:v>84.292001992955321</c:v>
                </c:pt>
                <c:pt idx="51">
                  <c:v>84.358037480370527</c:v>
                </c:pt>
                <c:pt idx="52">
                  <c:v>84.421893101271792</c:v>
                </c:pt>
                <c:pt idx="53">
                  <c:v>84.483682717759606</c:v>
                </c:pt>
                <c:pt idx="54">
                  <c:v>84.543512249183408</c:v>
                </c:pt>
                <c:pt idx="55">
                  <c:v>84.601480358769209</c:v>
                </c:pt>
                <c:pt idx="56">
                  <c:v>84.657679069883159</c:v>
                </c:pt>
                <c:pt idx="57">
                  <c:v>84.712194320228278</c:v>
                </c:pt>
                <c:pt idx="58">
                  <c:v>84.765106461169879</c:v>
                </c:pt>
                <c:pt idx="59">
                  <c:v>84.816490708445272</c:v>
                </c:pt>
                <c:pt idx="60">
                  <c:v>84.866417549709269</c:v>
                </c:pt>
                <c:pt idx="61">
                  <c:v>84.914953113678436</c:v>
                </c:pt>
                <c:pt idx="62">
                  <c:v>84.96215950504353</c:v>
                </c:pt>
                <c:pt idx="63">
                  <c:v>85.008095108809911</c:v>
                </c:pt>
                <c:pt idx="64">
                  <c:v>85.052814867283431</c:v>
                </c:pt>
                <c:pt idx="65">
                  <c:v>85.096370532537634</c:v>
                </c:pt>
                <c:pt idx="66">
                  <c:v>85.138810896866104</c:v>
                </c:pt>
                <c:pt idx="67">
                  <c:v>85.18018200343495</c:v>
                </c:pt>
                <c:pt idx="68">
                  <c:v>85.220527339099135</c:v>
                </c:pt>
                <c:pt idx="69">
                  <c:v>85.259888011125952</c:v>
                </c:pt>
                <c:pt idx="70">
                  <c:v>85.298302909376673</c:v>
                </c:pt>
                <c:pt idx="71">
                  <c:v>85.335808855328281</c:v>
                </c:pt>
                <c:pt idx="72">
                  <c:v>85.372440739169036</c:v>
                </c:pt>
                <c:pt idx="73">
                  <c:v>85.408231646070689</c:v>
                </c:pt>
                <c:pt idx="74">
                  <c:v>85.44321297262465</c:v>
                </c:pt>
                <c:pt idx="75">
                  <c:v>85.477414534328148</c:v>
                </c:pt>
                <c:pt idx="76">
                  <c:v>85.510864664915317</c:v>
                </c:pt>
                <c:pt idx="77">
                  <c:v>85.543590308249136</c:v>
                </c:pt>
                <c:pt idx="78">
                  <c:v>85.575617103418296</c:v>
                </c:pt>
                <c:pt idx="79">
                  <c:v>85.606969463620302</c:v>
                </c:pt>
                <c:pt idx="80">
                  <c:v>85.637670649356039</c:v>
                </c:pt>
                <c:pt idx="81">
                  <c:v>85.667742836410127</c:v>
                </c:pt>
                <c:pt idx="82">
                  <c:v>85.697207179047183</c:v>
                </c:pt>
                <c:pt idx="83">
                  <c:v>85.726083868813902</c:v>
                </c:pt>
                <c:pt idx="84">
                  <c:v>85.754392189300276</c:v>
                </c:pt>
                <c:pt idx="85">
                  <c:v>85.782150567181986</c:v>
                </c:pt>
                <c:pt idx="86">
                  <c:v>85.809376619836044</c:v>
                </c:pt>
                <c:pt idx="87">
                  <c:v>85.836087199796523</c:v>
                </c:pt>
                <c:pt idx="88">
                  <c:v>85.862298436293003</c:v>
                </c:pt>
                <c:pt idx="89">
                  <c:v>85.888025774093805</c:v>
                </c:pt>
                <c:pt idx="90">
                  <c:v>85.913284009856483</c:v>
                </c:pt>
                <c:pt idx="91">
                  <c:v>85.938087326171214</c:v>
                </c:pt>
                <c:pt idx="92">
                  <c:v>85.962449323466444</c:v>
                </c:pt>
                <c:pt idx="93">
                  <c:v>85.986383049932925</c:v>
                </c:pt>
                <c:pt idx="94">
                  <c:v>86.009901029608315</c:v>
                </c:pt>
                <c:pt idx="95">
                  <c:v>86.033015288753958</c:v>
                </c:pt>
                <c:pt idx="96">
                  <c:v>86.055737380643933</c:v>
                </c:pt>
                <c:pt idx="97">
                  <c:v>86.07807840887736</c:v>
                </c:pt>
                <c:pt idx="98">
                  <c:v>86.100049049316112</c:v>
                </c:pt>
                <c:pt idx="99">
                  <c:v>86.121659570741841</c:v>
                </c:pt>
                <c:pt idx="100">
                  <c:v>86.142919854319018</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5.6976831820000013</c:v>
                </c:pt>
                <c:pt idx="1">
                  <c:v>6.0339701333333347</c:v>
                </c:pt>
                <c:pt idx="2">
                  <c:v>6.3379402666666653</c:v>
                </c:pt>
                <c:pt idx="3">
                  <c:v>6.6419104000000022</c:v>
                </c:pt>
                <c:pt idx="4">
                  <c:v>6.9458805333333329</c:v>
                </c:pt>
                <c:pt idx="5">
                  <c:v>7.249850666666668</c:v>
                </c:pt>
                <c:pt idx="6">
                  <c:v>7.5538207999999996</c:v>
                </c:pt>
                <c:pt idx="7">
                  <c:v>7.8577909333333356</c:v>
                </c:pt>
                <c:pt idx="8">
                  <c:v>8.1617610666666671</c:v>
                </c:pt>
                <c:pt idx="9">
                  <c:v>8.4657312000000005</c:v>
                </c:pt>
                <c:pt idx="10">
                  <c:v>8.7697013333333338</c:v>
                </c:pt>
                <c:pt idx="11">
                  <c:v>9.1260053520170299</c:v>
                </c:pt>
                <c:pt idx="12">
                  <c:v>9.822782028435082</c:v>
                </c:pt>
                <c:pt idx="13">
                  <c:v>10.585173160225105</c:v>
                </c:pt>
                <c:pt idx="14">
                  <c:v>11.349313187883329</c:v>
                </c:pt>
                <c:pt idx="15">
                  <c:v>12.108180878229271</c:v>
                </c:pt>
                <c:pt idx="16">
                  <c:v>12.86195521668216</c:v>
                </c:pt>
                <c:pt idx="17">
                  <c:v>13.610798104614974</c:v>
                </c:pt>
                <c:pt idx="18">
                  <c:v>14.354856916438012</c:v>
                </c:pt>
                <c:pt idx="19">
                  <c:v>15.094266550784543</c:v>
                </c:pt>
                <c:pt idx="20">
                  <c:v>15.829151097670389</c:v>
                </c:pt>
                <c:pt idx="21">
                  <c:v>16.559625209421039</c:v>
                </c:pt>
                <c:pt idx="22">
                  <c:v>17.285795239803598</c:v>
                </c:pt>
                <c:pt idx="23">
                  <c:v>18.007760199451937</c:v>
                </c:pt>
                <c:pt idx="24">
                  <c:v>18.725612564013073</c:v>
                </c:pt>
                <c:pt idx="25">
                  <c:v>19.439438962983111</c:v>
                </c:pt>
                <c:pt idx="26">
                  <c:v>20.149320770970817</c:v>
                </c:pt>
                <c:pt idx="27">
                  <c:v>20.855334618472643</c:v>
                </c:pt>
                <c:pt idx="28">
                  <c:v>21.557552835723239</c:v>
                </c:pt>
                <c:pt idx="29">
                  <c:v>22.25604384049171</c:v>
                </c:pt>
                <c:pt idx="30">
                  <c:v>22.95087247861078</c:v>
                </c:pt>
                <c:pt idx="31">
                  <c:v>23.642100324398239</c:v>
                </c:pt>
                <c:pt idx="32">
                  <c:v>24.329785946848151</c:v>
                </c:pt>
                <c:pt idx="33">
                  <c:v>25.013985146449091</c:v>
                </c:pt>
                <c:pt idx="34">
                  <c:v>25.69475116667018</c:v>
                </c:pt>
                <c:pt idx="35">
                  <c:v>26.37213488349607</c:v>
                </c:pt>
                <c:pt idx="36">
                  <c:v>27.046184975856491</c:v>
                </c:pt>
                <c:pt idx="37">
                  <c:v>27.716948079357394</c:v>
                </c:pt>
                <c:pt idx="38">
                  <c:v>28.384468925360483</c:v>
                </c:pt>
                <c:pt idx="39">
                  <c:v>29.048790467158845</c:v>
                </c:pt>
                <c:pt idx="40">
                  <c:v>29.709953994748805</c:v>
                </c:pt>
                <c:pt idx="41">
                  <c:v>30.367999239489617</c:v>
                </c:pt>
                <c:pt idx="42">
                  <c:v>31.022964469768834</c:v>
                </c:pt>
                <c:pt idx="43">
                  <c:v>31.67488657864314</c:v>
                </c:pt>
                <c:pt idx="44">
                  <c:v>32.323801164300221</c:v>
                </c:pt>
                <c:pt idx="45">
                  <c:v>32.969742604080288</c:v>
                </c:pt>
                <c:pt idx="46">
                  <c:v>33.612744122705486</c:v>
                </c:pt>
                <c:pt idx="47">
                  <c:v>34.25283785528697</c:v>
                </c:pt>
                <c:pt idx="48">
                  <c:v>34.890054905612971</c:v>
                </c:pt>
                <c:pt idx="49">
                  <c:v>35.52442540016245</c:v>
                </c:pt>
                <c:pt idx="50">
                  <c:v>36.155978538239331</c:v>
                </c:pt>
                <c:pt idx="51">
                  <c:v>36.784742638578294</c:v>
                </c:pt>
                <c:pt idx="52">
                  <c:v>37.410745182735234</c:v>
                </c:pt>
                <c:pt idx="53">
                  <c:v>38.034012855541867</c:v>
                </c:pt>
                <c:pt idx="54">
                  <c:v>38.65457158287542</c:v>
                </c:pt>
                <c:pt idx="55">
                  <c:v>39.272446566967886</c:v>
                </c:pt>
                <c:pt idx="56">
                  <c:v>39.887662319457483</c:v>
                </c:pt>
                <c:pt idx="57">
                  <c:v>40.500242692364374</c:v>
                </c:pt>
                <c:pt idx="58">
                  <c:v>41.110210907155484</c:v>
                </c:pt>
                <c:pt idx="59">
                  <c:v>41.71758958204726</c:v>
                </c:pt>
                <c:pt idx="60">
                  <c:v>42.322400757681507</c:v>
                </c:pt>
                <c:pt idx="61">
                  <c:v>42.924665921296665</c:v>
                </c:pt>
                <c:pt idx="62">
                  <c:v>43.524406029506224</c:v>
                </c:pt>
                <c:pt idx="63">
                  <c:v>44.121641529785755</c:v>
                </c:pt>
                <c:pt idx="64">
                  <c:v>44.716392380761107</c:v>
                </c:pt>
                <c:pt idx="65">
                  <c:v>45.308678071382417</c:v>
                </c:pt>
                <c:pt idx="66">
                  <c:v>45.898517639061645</c:v>
                </c:pt>
                <c:pt idx="67">
                  <c:v>46.485929686844194</c:v>
                </c:pt>
                <c:pt idx="68">
                  <c:v>47.070932399680089</c:v>
                </c:pt>
                <c:pt idx="69">
                  <c:v>47.653543559854292</c:v>
                </c:pt>
                <c:pt idx="70">
                  <c:v>48.233780561631434</c:v>
                </c:pt>
                <c:pt idx="71">
                  <c:v>48.811660425165421</c:v>
                </c:pt>
                <c:pt idx="72">
                  <c:v>49.387199809720904</c:v>
                </c:pt>
                <c:pt idx="73">
                  <c:v>49.960415026249571</c:v>
                </c:pt>
                <c:pt idx="74">
                  <c:v>50.531322049361407</c:v>
                </c:pt>
                <c:pt idx="75">
                  <c:v>51.099936528727646</c:v>
                </c:pt>
                <c:pt idx="76">
                  <c:v>51.666273799949643</c:v>
                </c:pt>
                <c:pt idx="77">
                  <c:v>52.230348894925747</c:v>
                </c:pt>
                <c:pt idx="78">
                  <c:v>52.792176551744951</c:v>
                </c:pt>
                <c:pt idx="79">
                  <c:v>53.351771224135419</c:v>
                </c:pt>
                <c:pt idx="80">
                  <c:v>53.909147090492866</c:v>
                </c:pt>
                <c:pt idx="81">
                  <c:v>54.464318062512618</c:v>
                </c:pt>
                <c:pt idx="82">
                  <c:v>55.017297793447625</c:v>
                </c:pt>
                <c:pt idx="83">
                  <c:v>55.568099686012744</c:v>
                </c:pt>
                <c:pt idx="84">
                  <c:v>56.116736899954596</c:v>
                </c:pt>
                <c:pt idx="85">
                  <c:v>56.663222359305223</c:v>
                </c:pt>
                <c:pt idx="86">
                  <c:v>57.207568759336027</c:v>
                </c:pt>
                <c:pt idx="87">
                  <c:v>57.749788573227747</c:v>
                </c:pt>
                <c:pt idx="88">
                  <c:v>58.289894058471532</c:v>
                </c:pt>
                <c:pt idx="89">
                  <c:v>58.827897263014464</c:v>
                </c:pt>
                <c:pt idx="90">
                  <c:v>59.3638100311627</c:v>
                </c:pt>
                <c:pt idx="91">
                  <c:v>59.897644009254634</c:v>
                </c:pt>
                <c:pt idx="92">
                  <c:v>60.429410651114779</c:v>
                </c:pt>
                <c:pt idx="93">
                  <c:v>60.959121223300109</c:v>
                </c:pt>
                <c:pt idx="94">
                  <c:v>61.486786810147898</c:v>
                </c:pt>
                <c:pt idx="95">
                  <c:v>62.01241831863549</c:v>
                </c:pt>
                <c:pt idx="96">
                  <c:v>62.536026483060311</c:v>
                </c:pt>
                <c:pt idx="97">
                  <c:v>63.05762186954879</c:v>
                </c:pt>
                <c:pt idx="98">
                  <c:v>63.577214880402302</c:v>
                </c:pt>
                <c:pt idx="99">
                  <c:v>64.094815758287297</c:v>
                </c:pt>
                <c:pt idx="100">
                  <c:v>64.610434590277094</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5.3415797056451506</c:v>
                </c:pt>
                <c:pt idx="1">
                  <c:v>6.744178059087691</c:v>
                </c:pt>
                <c:pt idx="2">
                  <c:v>9.1383876990455217</c:v>
                </c:pt>
                <c:pt idx="3">
                  <c:v>11.532628920498361</c:v>
                </c:pt>
                <c:pt idx="4">
                  <c:v>13.926901724071083</c:v>
                </c:pt>
                <c:pt idx="5">
                  <c:v>16.321206110388591</c:v>
                </c:pt>
                <c:pt idx="6">
                  <c:v>18.715542080075792</c:v>
                </c:pt>
                <c:pt idx="7">
                  <c:v>21.109909633757624</c:v>
                </c:pt>
                <c:pt idx="8">
                  <c:v>23.504308772059026</c:v>
                </c:pt>
                <c:pt idx="9">
                  <c:v>25.898739495604964</c:v>
                </c:pt>
                <c:pt idx="10">
                  <c:v>28.293201805020431</c:v>
                </c:pt>
                <c:pt idx="11">
                  <c:v>30.738255381551919</c:v>
                </c:pt>
                <c:pt idx="12">
                  <c:v>33.560506958501485</c:v>
                </c:pt>
                <c:pt idx="13">
                  <c:v>34.169148920038722</c:v>
                </c:pt>
                <c:pt idx="14">
                  <c:v>34.573499975484538</c:v>
                </c:pt>
                <c:pt idx="15">
                  <c:v>34.969078305264944</c:v>
                </c:pt>
                <c:pt idx="16">
                  <c:v>35.356927196984664</c:v>
                </c:pt>
                <c:pt idx="17">
                  <c:v>35.737923688187777</c:v>
                </c:pt>
                <c:pt idx="18">
                  <c:v>36.112812848407231</c:v>
                </c:pt>
                <c:pt idx="19">
                  <c:v>36.482233522121668</c:v>
                </c:pt>
                <c:pt idx="20">
                  <c:v>36.846737990726659</c:v>
                </c:pt>
                <c:pt idx="21">
                  <c:v>37.206807217729349</c:v>
                </c:pt>
                <c:pt idx="22">
                  <c:v>37.562862829193953</c:v>
                </c:pt>
                <c:pt idx="23">
                  <c:v>37.915276642846827</c:v>
                </c:pt>
                <c:pt idx="24">
                  <c:v>38.264378330435136</c:v>
                </c:pt>
                <c:pt idx="25">
                  <c:v>38.610461640255203</c:v>
                </c:pt>
                <c:pt idx="26">
                  <c:v>38.953789496167943</c:v>
                </c:pt>
                <c:pt idx="27">
                  <c:v>39.294598210584233</c:v>
                </c:pt>
                <c:pt idx="28">
                  <c:v>39.633100991881783</c:v>
                </c:pt>
                <c:pt idx="29">
                  <c:v>39.969490884911309</c:v>
                </c:pt>
                <c:pt idx="30">
                  <c:v>40.303943252224236</c:v>
                </c:pt>
                <c:pt idx="31">
                  <c:v>40.636617880362309</c:v>
                </c:pt>
                <c:pt idx="32">
                  <c:v>40.96766077787904</c:v>
                </c:pt>
                <c:pt idx="33">
                  <c:v>41.297205718225257</c:v>
                </c:pt>
                <c:pt idx="34">
                  <c:v>41.625375570164842</c:v>
                </c:pt>
                <c:pt idx="35">
                  <c:v>41.952283450225842</c:v>
                </c:pt>
                <c:pt idx="36">
                  <c:v>42.278033725277908</c:v>
                </c:pt>
                <c:pt idx="37">
                  <c:v>42.602722888248429</c:v>
                </c:pt>
                <c:pt idx="38">
                  <c:v>42.926440325940298</c:v>
                </c:pt>
                <c:pt idx="39">
                  <c:v>43.249268994662799</c:v>
                </c:pt>
                <c:pt idx="40">
                  <c:v>43.571286016763132</c:v>
                </c:pt>
                <c:pt idx="41">
                  <c:v>43.892563209011797</c:v>
                </c:pt>
                <c:pt idx="42">
                  <c:v>44.213167552053967</c:v>
                </c:pt>
                <c:pt idx="43">
                  <c:v>44.533161608707417</c:v>
                </c:pt>
                <c:pt idx="44">
                  <c:v>44.85260389770675</c:v>
                </c:pt>
                <c:pt idx="45">
                  <c:v>45.1715492285145</c:v>
                </c:pt>
                <c:pt idx="46">
                  <c:v>45.49004900200395</c:v>
                </c:pt>
                <c:pt idx="47">
                  <c:v>45.808151481135702</c:v>
                </c:pt>
                <c:pt idx="48">
                  <c:v>46.125902035177262</c:v>
                </c:pt>
                <c:pt idx="49">
                  <c:v>46.443343360531138</c:v>
                </c:pt>
                <c:pt idx="50">
                  <c:v>46.760515680827815</c:v>
                </c:pt>
                <c:pt idx="51">
                  <c:v>47.077456928592383</c:v>
                </c:pt>
                <c:pt idx="52">
                  <c:v>47.394202910497185</c:v>
                </c:pt>
                <c:pt idx="53">
                  <c:v>47.710787457959839</c:v>
                </c:pt>
                <c:pt idx="54">
                  <c:v>48.02724256462772</c:v>
                </c:pt>
                <c:pt idx="55">
                  <c:v>48.34359851210408</c:v>
                </c:pt>
                <c:pt idx="56">
                  <c:v>48.659883985108614</c:v>
                </c:pt>
                <c:pt idx="57">
                  <c:v>48.976126177125927</c:v>
                </c:pt>
                <c:pt idx="58">
                  <c:v>49.292350887474427</c:v>
                </c:pt>
                <c:pt idx="59">
                  <c:v>49.608582610621902</c:v>
                </c:pt>
                <c:pt idx="60">
                  <c:v>49.924844618483199</c:v>
                </c:pt>
                <c:pt idx="61">
                  <c:v>50.241159036353771</c:v>
                </c:pt>
                <c:pt idx="62">
                  <c:v>50.557546913063497</c:v>
                </c:pt>
                <c:pt idx="63">
                  <c:v>50.874028285872512</c:v>
                </c:pt>
                <c:pt idx="64">
                  <c:v>51.190622240576786</c:v>
                </c:pt>
                <c:pt idx="65">
                  <c:v>51.507346967242931</c:v>
                </c:pt>
                <c:pt idx="66">
                  <c:v>51.824219811949334</c:v>
                </c:pt>
                <c:pt idx="67">
                  <c:v>52.141257324873159</c:v>
                </c:pt>
                <c:pt idx="68">
                  <c:v>52.458475305029282</c:v>
                </c:pt>
                <c:pt idx="69">
                  <c:v>52.775888841937793</c:v>
                </c:pt>
                <c:pt idx="70">
                  <c:v>53.093512354470029</c:v>
                </c:pt>
                <c:pt idx="71">
                  <c:v>53.411359627099941</c:v>
                </c:pt>
                <c:pt idx="72">
                  <c:v>53.729443843766006</c:v>
                </c:pt>
                <c:pt idx="73">
                  <c:v>54.047777619530841</c:v>
                </c:pt>
                <c:pt idx="74">
                  <c:v>54.366373030207939</c:v>
                </c:pt>
                <c:pt idx="75">
                  <c:v>54.685241640110604</c:v>
                </c:pt>
                <c:pt idx="76">
                  <c:v>55.004394528063912</c:v>
                </c:pt>
                <c:pt idx="77">
                  <c:v>55.323842311808761</c:v>
                </c:pt>
                <c:pt idx="78">
                  <c:v>55.643595170915667</c:v>
                </c:pt>
                <c:pt idx="79">
                  <c:v>55.963662868316206</c:v>
                </c:pt>
                <c:pt idx="80">
                  <c:v>56.284054770550782</c:v>
                </c:pt>
                <c:pt idx="81">
                  <c:v>56.604779866823534</c:v>
                </c:pt>
                <c:pt idx="82">
                  <c:v>56.925846786947517</c:v>
                </c:pt>
                <c:pt idx="83">
                  <c:v>57.247263818256627</c:v>
                </c:pt>
                <c:pt idx="84">
                  <c:v>57.569038921554942</c:v>
                </c:pt>
                <c:pt idx="85">
                  <c:v>57.891179746167872</c:v>
                </c:pt>
                <c:pt idx="86">
                  <c:v>58.21369364415559</c:v>
                </c:pt>
                <c:pt idx="87">
                  <c:v>58.536587683743328</c:v>
                </c:pt>
                <c:pt idx="88">
                  <c:v>58.859868662019984</c:v>
                </c:pt>
                <c:pt idx="89">
                  <c:v>59.183543116952023</c:v>
                </c:pt>
                <c:pt idx="90">
                  <c:v>59.507617338756283</c:v>
                </c:pt>
                <c:pt idx="91">
                  <c:v>59.832097380672316</c:v>
                </c:pt>
                <c:pt idx="92">
                  <c:v>60.15698906917148</c:v>
                </c:pt>
                <c:pt idx="93">
                  <c:v>60.482298013637887</c:v>
                </c:pt>
                <c:pt idx="94">
                  <c:v>60.808029615553089</c:v>
                </c:pt>
                <c:pt idx="95">
                  <c:v>61.134189077215147</c:v>
                </c:pt>
                <c:pt idx="96">
                  <c:v>61.460781410019131</c:v>
                </c:pt>
                <c:pt idx="97">
                  <c:v>61.787811442325925</c:v>
                </c:pt>
                <c:pt idx="98">
                  <c:v>62.115283826943006</c:v>
                </c:pt>
                <c:pt idx="99">
                  <c:v>62.443203048239845</c:v>
                </c:pt>
                <c:pt idx="100">
                  <c:v>62.771573428919062</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8.5400430258154909</c:v>
                </c:pt>
                <c:pt idx="1">
                  <c:v>8.731000472624002</c:v>
                </c:pt>
                <c:pt idx="2">
                  <c:v>9.0569579194325094</c:v>
                </c:pt>
                <c:pt idx="3">
                  <c:v>9.3829153662410238</c:v>
                </c:pt>
                <c:pt idx="4">
                  <c:v>9.708872813049533</c:v>
                </c:pt>
                <c:pt idx="5">
                  <c:v>10.034830259858046</c:v>
                </c:pt>
                <c:pt idx="6">
                  <c:v>10.360787706666555</c:v>
                </c:pt>
                <c:pt idx="7">
                  <c:v>10.686745153475067</c:v>
                </c:pt>
                <c:pt idx="8">
                  <c:v>11.012702600283577</c:v>
                </c:pt>
                <c:pt idx="9">
                  <c:v>11.338660047092088</c:v>
                </c:pt>
                <c:pt idx="10">
                  <c:v>11.664617493900602</c:v>
                </c:pt>
                <c:pt idx="11">
                  <c:v>12.132007745726316</c:v>
                </c:pt>
                <c:pt idx="12">
                  <c:v>13.595212339532404</c:v>
                </c:pt>
                <c:pt idx="13">
                  <c:v>14.759804075861819</c:v>
                </c:pt>
                <c:pt idx="14">
                  <c:v>15.895771483072494</c:v>
                </c:pt>
                <c:pt idx="15">
                  <c:v>17.031824370033394</c:v>
                </c:pt>
                <c:pt idx="16">
                  <c:v>18.167962750909545</c:v>
                </c:pt>
                <c:pt idx="17">
                  <c:v>19.304186639869091</c:v>
                </c:pt>
                <c:pt idx="18">
                  <c:v>20.440496051083315</c:v>
                </c:pt>
                <c:pt idx="19">
                  <c:v>21.576890998726636</c:v>
                </c:pt>
                <c:pt idx="20">
                  <c:v>22.71337149697661</c:v>
                </c:pt>
                <c:pt idx="21">
                  <c:v>23.849937560013899</c:v>
                </c:pt>
                <c:pt idx="22">
                  <c:v>24.986589202022316</c:v>
                </c:pt>
                <c:pt idx="23">
                  <c:v>26.123326437188819</c:v>
                </c:pt>
                <c:pt idx="24">
                  <c:v>27.260149279703498</c:v>
                </c:pt>
                <c:pt idx="25">
                  <c:v>28.397057743759571</c:v>
                </c:pt>
                <c:pt idx="26">
                  <c:v>29.534051843553399</c:v>
                </c:pt>
                <c:pt idx="27">
                  <c:v>30.671131593284471</c:v>
                </c:pt>
                <c:pt idx="28">
                  <c:v>31.808297007155435</c:v>
                </c:pt>
                <c:pt idx="29">
                  <c:v>32.945548099372047</c:v>
                </c:pt>
                <c:pt idx="30">
                  <c:v>34.082884884143269</c:v>
                </c:pt>
                <c:pt idx="31">
                  <c:v>35.220307375681131</c:v>
                </c:pt>
                <c:pt idx="32">
                  <c:v>36.35781558820085</c:v>
                </c:pt>
                <c:pt idx="33">
                  <c:v>37.495409535920757</c:v>
                </c:pt>
                <c:pt idx="34">
                  <c:v>38.633089233062364</c:v>
                </c:pt>
                <c:pt idx="35">
                  <c:v>39.770854693850282</c:v>
                </c:pt>
                <c:pt idx="36">
                  <c:v>40.908705932512333</c:v>
                </c:pt>
                <c:pt idx="37">
                  <c:v>42.046642963279417</c:v>
                </c:pt>
                <c:pt idx="38">
                  <c:v>43.184665800385666</c:v>
                </c:pt>
                <c:pt idx="39">
                  <c:v>44.322774458068231</c:v>
                </c:pt>
                <c:pt idx="40">
                  <c:v>45.460968950567555</c:v>
                </c:pt>
                <c:pt idx="41">
                  <c:v>46.599249292127119</c:v>
                </c:pt>
                <c:pt idx="42">
                  <c:v>47.737615496993648</c:v>
                </c:pt>
                <c:pt idx="43">
                  <c:v>48.87606757941694</c:v>
                </c:pt>
                <c:pt idx="44">
                  <c:v>50.014605553650014</c:v>
                </c:pt>
                <c:pt idx="45">
                  <c:v>51.153229433948979</c:v>
                </c:pt>
                <c:pt idx="46">
                  <c:v>52.291939234573178</c:v>
                </c:pt>
                <c:pt idx="47">
                  <c:v>53.430734969784993</c:v>
                </c:pt>
                <c:pt idx="48">
                  <c:v>54.569616653850083</c:v>
                </c:pt>
                <c:pt idx="49">
                  <c:v>55.70858430103727</c:v>
                </c:pt>
                <c:pt idx="50">
                  <c:v>56.847637925618351</c:v>
                </c:pt>
                <c:pt idx="51">
                  <c:v>57.986777541868484</c:v>
                </c:pt>
                <c:pt idx="52">
                  <c:v>59.126003164065921</c:v>
                </c:pt>
                <c:pt idx="53">
                  <c:v>60.265314806492057</c:v>
                </c:pt>
                <c:pt idx="54">
                  <c:v>61.404712483431446</c:v>
                </c:pt>
                <c:pt idx="55">
                  <c:v>62.544196209171844</c:v>
                </c:pt>
                <c:pt idx="56">
                  <c:v>63.683765998004127</c:v>
                </c:pt>
                <c:pt idx="57">
                  <c:v>64.823421864222382</c:v>
                </c:pt>
                <c:pt idx="58">
                  <c:v>65.963163822123803</c:v>
                </c:pt>
                <c:pt idx="59">
                  <c:v>67.102991886008795</c:v>
                </c:pt>
                <c:pt idx="60">
                  <c:v>68.242906070180908</c:v>
                </c:pt>
                <c:pt idx="61">
                  <c:v>69.382906388946921</c:v>
                </c:pt>
                <c:pt idx="62">
                  <c:v>70.522992856616654</c:v>
                </c:pt>
                <c:pt idx="63">
                  <c:v>71.663165487503235</c:v>
                </c:pt>
                <c:pt idx="64">
                  <c:v>72.803424295922881</c:v>
                </c:pt>
                <c:pt idx="65">
                  <c:v>73.943769296194986</c:v>
                </c:pt>
                <c:pt idx="66">
                  <c:v>75.084200502642133</c:v>
                </c:pt>
                <c:pt idx="67">
                  <c:v>76.224717929590128</c:v>
                </c:pt>
                <c:pt idx="68">
                  <c:v>77.365321591367845</c:v>
                </c:pt>
                <c:pt idx="69">
                  <c:v>78.506011502307416</c:v>
                </c:pt>
                <c:pt idx="70">
                  <c:v>79.646787676744097</c:v>
                </c:pt>
                <c:pt idx="71">
                  <c:v>80.787650129016384</c:v>
                </c:pt>
                <c:pt idx="72">
                  <c:v>81.928598873465887</c:v>
                </c:pt>
                <c:pt idx="73">
                  <c:v>83.069633924437454</c:v>
                </c:pt>
                <c:pt idx="74">
                  <c:v>84.210755296279032</c:v>
                </c:pt>
                <c:pt idx="75">
                  <c:v>85.351963003341865</c:v>
                </c:pt>
                <c:pt idx="76">
                  <c:v>86.493257059980237</c:v>
                </c:pt>
                <c:pt idx="77">
                  <c:v>87.634637480551731</c:v>
                </c:pt>
                <c:pt idx="78">
                  <c:v>88.776104279417027</c:v>
                </c:pt>
                <c:pt idx="79">
                  <c:v>89.917657470940043</c:v>
                </c:pt>
                <c:pt idx="80">
                  <c:v>91.059297069487954</c:v>
                </c:pt>
                <c:pt idx="81">
                  <c:v>92.201023089430947</c:v>
                </c:pt>
                <c:pt idx="82">
                  <c:v>93.342835545142464</c:v>
                </c:pt>
                <c:pt idx="83">
                  <c:v>94.484734450999255</c:v>
                </c:pt>
                <c:pt idx="84">
                  <c:v>95.626719821381101</c:v>
                </c:pt>
                <c:pt idx="85">
                  <c:v>96.768791670670993</c:v>
                </c:pt>
                <c:pt idx="86">
                  <c:v>97.910950013255331</c:v>
                </c:pt>
                <c:pt idx="87">
                  <c:v>99.053194863523231</c:v>
                </c:pt>
                <c:pt idx="88">
                  <c:v>100.19552623586756</c:v>
                </c:pt>
                <c:pt idx="89">
                  <c:v>101.33794414468397</c:v>
                </c:pt>
                <c:pt idx="90">
                  <c:v>102.4804486043715</c:v>
                </c:pt>
                <c:pt idx="91">
                  <c:v>103.62303962933231</c:v>
                </c:pt>
                <c:pt idx="92">
                  <c:v>104.76571723397187</c:v>
                </c:pt>
                <c:pt idx="93">
                  <c:v>105.90848143269862</c:v>
                </c:pt>
                <c:pt idx="94">
                  <c:v>107.05133223992439</c:v>
                </c:pt>
                <c:pt idx="95">
                  <c:v>108.1942696700642</c:v>
                </c:pt>
                <c:pt idx="96">
                  <c:v>109.33729373753616</c:v>
                </c:pt>
                <c:pt idx="97">
                  <c:v>110.4804044567617</c:v>
                </c:pt>
                <c:pt idx="98">
                  <c:v>111.62360184216533</c:v>
                </c:pt>
                <c:pt idx="99">
                  <c:v>112.76688590817484</c:v>
                </c:pt>
                <c:pt idx="100">
                  <c:v>113.9102566692212</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1.2140397450613847E-4</c:v>
                </c:pt>
                <c:pt idx="1">
                  <c:v>52.565733085684784</c:v>
                </c:pt>
                <c:pt idx="2">
                  <c:v>66.455194822550723</c:v>
                </c:pt>
                <c:pt idx="3">
                  <c:v>72.87365538532552</c:v>
                </c:pt>
                <c:pt idx="4">
                  <c:v>76.571399560298971</c:v>
                </c:pt>
                <c:pt idx="5">
                  <c:v>78.975814655989225</c:v>
                </c:pt>
                <c:pt idx="6">
                  <c:v>80.623436528760834</c:v>
                </c:pt>
                <c:pt idx="7">
                  <c:v>80.681487281071242</c:v>
                </c:pt>
                <c:pt idx="8">
                  <c:v>80.697839112787662</c:v>
                </c:pt>
                <c:pt idx="9">
                  <c:v>80.688833896983624</c:v>
                </c:pt>
                <c:pt idx="10">
                  <c:v>80.6640646729483</c:v>
                </c:pt>
                <c:pt idx="11">
                  <c:v>80.62947155562648</c:v>
                </c:pt>
                <c:pt idx="12">
                  <c:v>80.588887336305206</c:v>
                </c:pt>
                <c:pt idx="13">
                  <c:v>80.989953468441229</c:v>
                </c:pt>
                <c:pt idx="14">
                  <c:v>81.378475440224889</c:v>
                </c:pt>
                <c:pt idx="15">
                  <c:v>81.723300276476834</c:v>
                </c:pt>
                <c:pt idx="16">
                  <c:v>82.031923848956666</c:v>
                </c:pt>
                <c:pt idx="17">
                  <c:v>82.310194739242007</c:v>
                </c:pt>
                <c:pt idx="18">
                  <c:v>82.56274608114451</c:v>
                </c:pt>
                <c:pt idx="19">
                  <c:v>82.793297844910214</c:v>
                </c:pt>
                <c:pt idx="20">
                  <c:v>83.00487284961892</c:v>
                </c:pt>
                <c:pt idx="21">
                  <c:v>83.199953990542014</c:v>
                </c:pt>
                <c:pt idx="22">
                  <c:v>83.380600580044629</c:v>
                </c:pt>
                <c:pt idx="23">
                  <c:v>83.548535722057593</c:v>
                </c:pt>
                <c:pt idx="24">
                  <c:v>83.705212820708738</c:v>
                </c:pt>
                <c:pt idx="25">
                  <c:v>83.851866829685349</c:v>
                </c:pt>
                <c:pt idx="26">
                  <c:v>83.98955418777598</c:v>
                </c:pt>
                <c:pt idx="27">
                  <c:v>84.11918425952652</c:v>
                </c:pt>
                <c:pt idx="28">
                  <c:v>84.241544323291393</c:v>
                </c:pt>
                <c:pt idx="29">
                  <c:v>84.357319605344173</c:v>
                </c:pt>
                <c:pt idx="30">
                  <c:v>84.467109472870732</c:v>
                </c:pt>
                <c:pt idx="31">
                  <c:v>84.571440621258475</c:v>
                </c:pt>
                <c:pt idx="32">
                  <c:v>84.670777889248328</c:v>
                </c:pt>
                <c:pt idx="33">
                  <c:v>84.76553318701005</c:v>
                </c:pt>
                <c:pt idx="34">
                  <c:v>84.856072911802727</c:v>
                </c:pt>
                <c:pt idx="35">
                  <c:v>84.942724143013848</c:v>
                </c:pt>
                <c:pt idx="36">
                  <c:v>85.025779845602614</c:v>
                </c:pt>
                <c:pt idx="37">
                  <c:v>85.105503263021859</c:v>
                </c:pt>
                <c:pt idx="38">
                  <c:v>85.182131643768571</c:v>
                </c:pt>
                <c:pt idx="39">
                  <c:v>85.255879417063355</c:v>
                </c:pt>
                <c:pt idx="40">
                  <c:v>85.32694091077262</c:v>
                </c:pt>
                <c:pt idx="41">
                  <c:v>85.395492687073983</c:v>
                </c:pt>
                <c:pt idx="42">
                  <c:v>85.461695557422786</c:v>
                </c:pt>
                <c:pt idx="43">
                  <c:v>85.525696327270566</c:v>
                </c:pt>
                <c:pt idx="44">
                  <c:v>85.587629312088765</c:v>
                </c:pt>
                <c:pt idx="45">
                  <c:v>85.647617659084901</c:v>
                </c:pt>
                <c:pt idx="46">
                  <c:v>85.705774503195059</c:v>
                </c:pt>
                <c:pt idx="47">
                  <c:v>85.762203981215833</c:v>
                </c:pt>
                <c:pt idx="48">
                  <c:v>85.817002124078016</c:v>
                </c:pt>
                <c:pt idx="49">
                  <c:v>85.870257644095176</c:v>
                </c:pt>
                <c:pt idx="50">
                  <c:v>85.922052631405037</c:v>
                </c:pt>
                <c:pt idx="51">
                  <c:v>85.984085510588542</c:v>
                </c:pt>
                <c:pt idx="52">
                  <c:v>86.068715072125173</c:v>
                </c:pt>
                <c:pt idx="53">
                  <c:v>86.149186437583595</c:v>
                </c:pt>
                <c:pt idx="54">
                  <c:v>86.225770319202311</c:v>
                </c:pt>
                <c:pt idx="55">
                  <c:v>86.298715505973263</c:v>
                </c:pt>
                <c:pt idx="56">
                  <c:v>86.368250972866093</c:v>
                </c:pt>
                <c:pt idx="57">
                  <c:v>86.434587756432379</c:v>
                </c:pt>
                <c:pt idx="58">
                  <c:v>86.497920625913636</c:v>
                </c:pt>
                <c:pt idx="59">
                  <c:v>86.558429574958978</c:v>
                </c:pt>
                <c:pt idx="60">
                  <c:v>86.616281155646618</c:v>
                </c:pt>
                <c:pt idx="61">
                  <c:v>86.671629673597664</c:v>
                </c:pt>
                <c:pt idx="62">
                  <c:v>86.724618260489919</c:v>
                </c:pt>
                <c:pt idx="63">
                  <c:v>86.775379838157988</c:v>
                </c:pt>
                <c:pt idx="64">
                  <c:v>86.824037986645124</c:v>
                </c:pt>
                <c:pt idx="65">
                  <c:v>86.870707727007826</c:v>
                </c:pt>
                <c:pt idx="66">
                  <c:v>86.915496228326859</c:v>
                </c:pt>
                <c:pt idx="67">
                  <c:v>86.958503447213587</c:v>
                </c:pt>
                <c:pt idx="68">
                  <c:v>86.999822707094879</c:v>
                </c:pt>
                <c:pt idx="69">
                  <c:v>87.0395412236862</c:v>
                </c:pt>
                <c:pt idx="70">
                  <c:v>87.077740582304969</c:v>
                </c:pt>
                <c:pt idx="71">
                  <c:v>87.114497172016144</c:v>
                </c:pt>
                <c:pt idx="72">
                  <c:v>87.149882581026674</c:v>
                </c:pt>
                <c:pt idx="73">
                  <c:v>87.183963957242966</c:v>
                </c:pt>
                <c:pt idx="74">
                  <c:v>87.216804337465973</c:v>
                </c:pt>
                <c:pt idx="75">
                  <c:v>87.248462948312039</c:v>
                </c:pt>
                <c:pt idx="76">
                  <c:v>87.278995481610409</c:v>
                </c:pt>
                <c:pt idx="77">
                  <c:v>87.308454346729192</c:v>
                </c:pt>
                <c:pt idx="78">
                  <c:v>87.336888902020107</c:v>
                </c:pt>
                <c:pt idx="79">
                  <c:v>87.364345667340075</c:v>
                </c:pt>
                <c:pt idx="80">
                  <c:v>87.390868519403995</c:v>
                </c:pt>
                <c:pt idx="81">
                  <c:v>87.416498871540753</c:v>
                </c:pt>
                <c:pt idx="82">
                  <c:v>87.441275839265003</c:v>
                </c:pt>
                <c:pt idx="83">
                  <c:v>87.463634437941323</c:v>
                </c:pt>
                <c:pt idx="84">
                  <c:v>87.483738378618895</c:v>
                </c:pt>
                <c:pt idx="85">
                  <c:v>87.503385892647856</c:v>
                </c:pt>
                <c:pt idx="86">
                  <c:v>87.522591268633391</c:v>
                </c:pt>
                <c:pt idx="87">
                  <c:v>87.541368202973374</c:v>
                </c:pt>
                <c:pt idx="88">
                  <c:v>87.559729830699624</c:v>
                </c:pt>
                <c:pt idx="89">
                  <c:v>87.577688754380915</c:v>
                </c:pt>
                <c:pt idx="90">
                  <c:v>87.595257071229994</c:v>
                </c:pt>
                <c:pt idx="91">
                  <c:v>87.612446398545458</c:v>
                </c:pt>
                <c:pt idx="92">
                  <c:v>87.629267897608031</c:v>
                </c:pt>
                <c:pt idx="93">
                  <c:v>87.645732296141176</c:v>
                </c:pt>
                <c:pt idx="94">
                  <c:v>87.661849909436924</c:v>
                </c:pt>
                <c:pt idx="95">
                  <c:v>87.677630660239942</c:v>
                </c:pt>
                <c:pt idx="96">
                  <c:v>87.693084097475094</c:v>
                </c:pt>
                <c:pt idx="97">
                  <c:v>87.708219413897197</c:v>
                </c:pt>
                <c:pt idx="98">
                  <c:v>87.723045462735911</c:v>
                </c:pt>
                <c:pt idx="99">
                  <c:v>87.73757077340224</c:v>
                </c:pt>
                <c:pt idx="100">
                  <c:v>87.751803566319197</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11.421058493401512</c:v>
                </c:pt>
                <c:pt idx="1">
                  <c:v>12.082726316944996</c:v>
                </c:pt>
                <c:pt idx="2">
                  <c:v>12.690462450627136</c:v>
                </c:pt>
                <c:pt idx="3">
                  <c:v>13.298198584309286</c:v>
                </c:pt>
                <c:pt idx="4">
                  <c:v>13.905934717991428</c:v>
                </c:pt>
                <c:pt idx="5">
                  <c:v>14.513670851673576</c:v>
                </c:pt>
                <c:pt idx="6">
                  <c:v>15.172404127018716</c:v>
                </c:pt>
                <c:pt idx="7">
                  <c:v>17.414415341202965</c:v>
                </c:pt>
                <c:pt idx="8">
                  <c:v>19.550179086028429</c:v>
                </c:pt>
                <c:pt idx="9">
                  <c:v>21.57234813369692</c:v>
                </c:pt>
                <c:pt idx="10">
                  <c:v>23.474023547256103</c:v>
                </c:pt>
                <c:pt idx="11">
                  <c:v>25.248681292511634</c:v>
                </c:pt>
                <c:pt idx="12">
                  <c:v>26.890116954589942</c:v>
                </c:pt>
                <c:pt idx="13">
                  <c:v>28.854487816848142</c:v>
                </c:pt>
                <c:pt idx="14">
                  <c:v>30.827466234165506</c:v>
                </c:pt>
                <c:pt idx="15">
                  <c:v>32.774495745929897</c:v>
                </c:pt>
                <c:pt idx="16">
                  <c:v>34.696457266138978</c:v>
                </c:pt>
                <c:pt idx="17">
                  <c:v>36.594147626100678</c:v>
                </c:pt>
                <c:pt idx="18">
                  <c:v>38.468292159652222</c:v>
                </c:pt>
                <c:pt idx="19">
                  <c:v>40.319554798497236</c:v>
                </c:pt>
                <c:pt idx="20">
                  <c:v>42.14854627747868</c:v>
                </c:pt>
                <c:pt idx="21">
                  <c:v>43.95583088188215</c:v>
                </c:pt>
                <c:pt idx="22">
                  <c:v>45.741932053910553</c:v>
                </c:pt>
                <c:pt idx="23">
                  <c:v>47.507337095008303</c:v>
                </c:pt>
                <c:pt idx="24">
                  <c:v>49.252501143321453</c:v>
                </c:pt>
                <c:pt idx="25">
                  <c:v>50.977850563947683</c:v>
                </c:pt>
                <c:pt idx="26">
                  <c:v>52.683785858962636</c:v>
                </c:pt>
                <c:pt idx="27">
                  <c:v>54.370684181305712</c:v>
                </c:pt>
                <c:pt idx="28">
                  <c:v>56.038901519282717</c:v>
                </c:pt>
                <c:pt idx="29">
                  <c:v>57.688774605185984</c:v>
                </c:pt>
                <c:pt idx="30">
                  <c:v>59.320622591279253</c:v>
                </c:pt>
                <c:pt idx="31">
                  <c:v>60.93474852838461</c:v>
                </c:pt>
                <c:pt idx="32">
                  <c:v>62.531440675997892</c:v>
                </c:pt>
                <c:pt idx="33">
                  <c:v>64.110973667838877</c:v>
                </c:pt>
                <c:pt idx="34">
                  <c:v>65.673609552723775</c:v>
                </c:pt>
                <c:pt idx="35">
                  <c:v>67.219598727401191</c:v>
                </c:pt>
                <c:pt idx="36">
                  <c:v>68.749180775356592</c:v>
                </c:pt>
                <c:pt idx="37">
                  <c:v>70.262585223432282</c:v>
                </c:pt>
                <c:pt idx="38">
                  <c:v>71.760032226335866</c:v>
                </c:pt>
                <c:pt idx="39">
                  <c:v>73.241733187640378</c:v>
                </c:pt>
                <c:pt idx="40">
                  <c:v>74.707891324657453</c:v>
                </c:pt>
                <c:pt idx="41">
                  <c:v>76.158702183542061</c:v>
                </c:pt>
                <c:pt idx="42">
                  <c:v>77.594354110129274</c:v>
                </c:pt>
                <c:pt idx="43">
                  <c:v>79.015028681277087</c:v>
                </c:pt>
                <c:pt idx="44">
                  <c:v>80.420901100876236</c:v>
                </c:pt>
                <c:pt idx="45">
                  <c:v>81.812140564162448</c:v>
                </c:pt>
                <c:pt idx="46">
                  <c:v>83.188910593521598</c:v>
                </c:pt>
                <c:pt idx="47">
                  <c:v>84.551369348592445</c:v>
                </c:pt>
                <c:pt idx="48">
                  <c:v>85.899669913143214</c:v>
                </c:pt>
                <c:pt idx="49">
                  <c:v>87.2339605609111</c:v>
                </c:pt>
                <c:pt idx="50">
                  <c:v>88.554385002348369</c:v>
                </c:pt>
                <c:pt idx="51">
                  <c:v>90.147124277022982</c:v>
                </c:pt>
                <c:pt idx="52">
                  <c:v>92.376242670598856</c:v>
                </c:pt>
                <c:pt idx="53">
                  <c:v>94.609735226466213</c:v>
                </c:pt>
                <c:pt idx="54">
                  <c:v>96.847478715007952</c:v>
                </c:pt>
                <c:pt idx="55">
                  <c:v>99.089355586255778</c:v>
                </c:pt>
                <c:pt idx="56">
                  <c:v>101.33525361002476</c:v>
                </c:pt>
                <c:pt idx="57">
                  <c:v>103.58506554484404</c:v>
                </c:pt>
                <c:pt idx="58">
                  <c:v>105.83868883291578</c:v>
                </c:pt>
                <c:pt idx="59">
                  <c:v>108.09602531864448</c:v>
                </c:pt>
                <c:pt idx="60">
                  <c:v>110.35698098854863</c:v>
                </c:pt>
                <c:pt idx="61">
                  <c:v>112.62146573060127</c:v>
                </c:pt>
                <c:pt idx="62">
                  <c:v>114.88939311125544</c:v>
                </c:pt>
                <c:pt idx="63">
                  <c:v>117.16068016859101</c:v>
                </c:pt>
                <c:pt idx="64">
                  <c:v>119.43524722018128</c:v>
                </c:pt>
                <c:pt idx="65">
                  <c:v>121.71301768441806</c:v>
                </c:pt>
                <c:pt idx="66">
                  <c:v>123.99391791416205</c:v>
                </c:pt>
                <c:pt idx="67">
                  <c:v>126.2778770416938</c:v>
                </c:pt>
                <c:pt idx="68">
                  <c:v>128.5648268340413</c:v>
                </c:pt>
                <c:pt idx="69">
                  <c:v>130.85470155784787</c:v>
                </c:pt>
                <c:pt idx="70">
                  <c:v>133.14743785302295</c:v>
                </c:pt>
                <c:pt idx="71">
                  <c:v>135.44297461448687</c:v>
                </c:pt>
                <c:pt idx="72">
                  <c:v>137.74125288138617</c:v>
                </c:pt>
                <c:pt idx="73">
                  <c:v>140.04221573320922</c:v>
                </c:pt>
                <c:pt idx="74">
                  <c:v>142.34580819228515</c:v>
                </c:pt>
                <c:pt idx="75">
                  <c:v>144.6519771321928</c:v>
                </c:pt>
                <c:pt idx="76">
                  <c:v>146.96067119164684</c:v>
                </c:pt>
                <c:pt idx="77">
                  <c:v>149.27184069346742</c:v>
                </c:pt>
                <c:pt idx="78">
                  <c:v>151.58543756827041</c:v>
                </c:pt>
                <c:pt idx="79">
                  <c:v>153.90141528254625</c:v>
                </c:pt>
                <c:pt idx="80">
                  <c:v>156.21972877082314</c:v>
                </c:pt>
                <c:pt idx="81">
                  <c:v>158.54033437163514</c:v>
                </c:pt>
                <c:pt idx="82">
                  <c:v>160.86318976703654</c:v>
                </c:pt>
                <c:pt idx="83">
                  <c:v>163.00762227476338</c:v>
                </c:pt>
                <c:pt idx="84">
                  <c:v>164.96220115313014</c:v>
                </c:pt>
                <c:pt idx="85">
                  <c:v>166.91864990652135</c:v>
                </c:pt>
                <c:pt idx="86">
                  <c:v>168.87696768023071</c:v>
                </c:pt>
                <c:pt idx="87">
                  <c:v>170.83715302347085</c:v>
                </c:pt>
                <c:pt idx="88">
                  <c:v>172.79920392495896</c:v>
                </c:pt>
                <c:pt idx="89">
                  <c:v>174.76311784652898</c:v>
                </c:pt>
                <c:pt idx="90">
                  <c:v>176.72889175488777</c:v>
                </c:pt>
                <c:pt idx="91">
                  <c:v>178.6965221516258</c:v>
                </c:pt>
                <c:pt idx="92">
                  <c:v>180.66600510158227</c:v>
                </c:pt>
                <c:pt idx="93">
                  <c:v>182.63733625966225</c:v>
                </c:pt>
                <c:pt idx="94">
                  <c:v>184.61051089619539</c:v>
                </c:pt>
                <c:pt idx="95">
                  <c:v>186.58552392091892</c:v>
                </c:pt>
                <c:pt idx="96">
                  <c:v>188.56236990566421</c:v>
                </c:pt>
                <c:pt idx="97">
                  <c:v>190.54104310582099</c:v>
                </c:pt>
                <c:pt idx="98">
                  <c:v>192.52153748064759</c:v>
                </c:pt>
                <c:pt idx="99">
                  <c:v>194.5038467124925</c:v>
                </c:pt>
                <c:pt idx="100">
                  <c:v>196.48796422498782</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5.1763160451864545</c:v>
                </c:pt>
                <c:pt idx="1">
                  <c:v>6.744178059087691</c:v>
                </c:pt>
                <c:pt idx="2">
                  <c:v>9.1383876990455217</c:v>
                </c:pt>
                <c:pt idx="3">
                  <c:v>11.532628920498361</c:v>
                </c:pt>
                <c:pt idx="4">
                  <c:v>13.926901724071083</c:v>
                </c:pt>
                <c:pt idx="5">
                  <c:v>16.321206110388591</c:v>
                </c:pt>
                <c:pt idx="6">
                  <c:v>18.727400889040943</c:v>
                </c:pt>
                <c:pt idx="7">
                  <c:v>21.56894312193096</c:v>
                </c:pt>
                <c:pt idx="8">
                  <c:v>24.514836279632149</c:v>
                </c:pt>
                <c:pt idx="9">
                  <c:v>27.562078119897564</c:v>
                </c:pt>
                <c:pt idx="10">
                  <c:v>30.708413471724782</c:v>
                </c:pt>
                <c:pt idx="11">
                  <c:v>33.952131460958981</c:v>
                </c:pt>
                <c:pt idx="12">
                  <c:v>37.291931020590006</c:v>
                </c:pt>
                <c:pt idx="13">
                  <c:v>38.151242170990564</c:v>
                </c:pt>
                <c:pt idx="14">
                  <c:v>38.781110043131719</c:v>
                </c:pt>
                <c:pt idx="15">
                  <c:v>39.402222421958307</c:v>
                </c:pt>
                <c:pt idx="16">
                  <c:v>40.015884542614117</c:v>
                </c:pt>
                <c:pt idx="17">
                  <c:v>40.623187169583289</c:v>
                </c:pt>
                <c:pt idx="18">
                  <c:v>41.225051380991836</c:v>
                </c:pt>
                <c:pt idx="19">
                  <c:v>41.822262122077262</c:v>
                </c:pt>
                <c:pt idx="20">
                  <c:v>42.415493774536081</c:v>
                </c:pt>
                <c:pt idx="21">
                  <c:v>43.005329936808216</c:v>
                </c:pt>
                <c:pt idx="22">
                  <c:v>43.592278932681324</c:v>
                </c:pt>
                <c:pt idx="23">
                  <c:v>44.176786118089282</c:v>
                </c:pt>
                <c:pt idx="24">
                  <c:v>44.759243753940403</c:v>
                </c:pt>
                <c:pt idx="25">
                  <c:v>45.339999004918269</c:v>
                </c:pt>
                <c:pt idx="26">
                  <c:v>45.919360478549358</c:v>
                </c:pt>
                <c:pt idx="27">
                  <c:v>46.497603615137571</c:v>
                </c:pt>
                <c:pt idx="28">
                  <c:v>47.074975164251029</c:v>
                </c:pt>
                <c:pt idx="29">
                  <c:v>47.651696928591413</c:v>
                </c:pt>
                <c:pt idx="30">
                  <c:v>48.227968915412141</c:v>
                </c:pt>
                <c:pt idx="31">
                  <c:v>48.803972005160439</c:v>
                </c:pt>
                <c:pt idx="32">
                  <c:v>49.379870223914402</c:v>
                </c:pt>
                <c:pt idx="33">
                  <c:v>49.955812688507145</c:v>
                </c:pt>
                <c:pt idx="34">
                  <c:v>50.531935279577979</c:v>
                </c:pt>
                <c:pt idx="35">
                  <c:v>51.108362087159279</c:v>
                </c:pt>
                <c:pt idx="36">
                  <c:v>51.685206665061905</c:v>
                </c:pt>
                <c:pt idx="37">
                  <c:v>52.262573123721509</c:v>
                </c:pt>
                <c:pt idx="38">
                  <c:v>52.840557085912131</c:v>
                </c:pt>
                <c:pt idx="39">
                  <c:v>53.419246525518972</c:v>
                </c:pt>
                <c:pt idx="40">
                  <c:v>53.998722506163482</c:v>
                </c:pt>
                <c:pt idx="41">
                  <c:v>54.579059833715633</c:v>
                </c:pt>
                <c:pt idx="42">
                  <c:v>55.16032763447803</c:v>
                </c:pt>
                <c:pt idx="43">
                  <c:v>55.742589868980495</c:v>
                </c:pt>
                <c:pt idx="44">
                  <c:v>56.325905789803073</c:v>
                </c:pt>
                <c:pt idx="45">
                  <c:v>56.910330350584175</c:v>
                </c:pt>
                <c:pt idx="46">
                  <c:v>57.495914572323642</c:v>
                </c:pt>
                <c:pt idx="47">
                  <c:v>58.082705872213523</c:v>
                </c:pt>
                <c:pt idx="48">
                  <c:v>58.670748359495327</c:v>
                </c:pt>
                <c:pt idx="49">
                  <c:v>59.26008310222285</c:v>
                </c:pt>
                <c:pt idx="50">
                  <c:v>59.850748368287803</c:v>
                </c:pt>
                <c:pt idx="51">
                  <c:v>60.101698915026887</c:v>
                </c:pt>
                <c:pt idx="52">
                  <c:v>59.605843264838846</c:v>
                </c:pt>
                <c:pt idx="53">
                  <c:v>59.12998095511248</c:v>
                </c:pt>
                <c:pt idx="54">
                  <c:v>58.673027663972064</c:v>
                </c:pt>
                <c:pt idx="55">
                  <c:v>58.233976178370838</c:v>
                </c:pt>
                <c:pt idx="56">
                  <c:v>57.811889633148901</c:v>
                </c:pt>
                <c:pt idx="57">
                  <c:v>57.405895451391842</c:v>
                </c:pt>
                <c:pt idx="58">
                  <c:v>57.015179902468851</c:v>
                </c:pt>
                <c:pt idx="59">
                  <c:v>56.638983205353313</c:v>
                </c:pt>
                <c:pt idx="60">
                  <c:v>56.276595114383881</c:v>
                </c:pt>
                <c:pt idx="61">
                  <c:v>55.927350932780016</c:v>
                </c:pt>
                <c:pt idx="62">
                  <c:v>55.590627906210848</c:v>
                </c:pt>
                <c:pt idx="63">
                  <c:v>55.265841954710076</c:v>
                </c:pt>
                <c:pt idx="64">
                  <c:v>54.952444706388818</c:v>
                </c:pt>
                <c:pt idx="65">
                  <c:v>54.649920800849614</c:v>
                </c:pt>
                <c:pt idx="66">
                  <c:v>54.357785434054477</c:v>
                </c:pt>
                <c:pt idx="67">
                  <c:v>54.075582119736595</c:v>
                </c:pt>
                <c:pt idx="68">
                  <c:v>53.802880645345589</c:v>
                </c:pt>
                <c:pt idx="69">
                  <c:v>53.539275203040056</c:v>
                </c:pt>
                <c:pt idx="70">
                  <c:v>53.284382678444778</c:v>
                </c:pt>
                <c:pt idx="71">
                  <c:v>53.037841081816509</c:v>
                </c:pt>
                <c:pt idx="72">
                  <c:v>52.799308107949479</c:v>
                </c:pt>
                <c:pt idx="73">
                  <c:v>52.568459812633989</c:v>
                </c:pt>
                <c:pt idx="74">
                  <c:v>52.344989394784605</c:v>
                </c:pt>
                <c:pt idx="75">
                  <c:v>52.128606074502045</c:v>
                </c:pt>
                <c:pt idx="76">
                  <c:v>51.919034058347293</c:v>
                </c:pt>
                <c:pt idx="77">
                  <c:v>51.716011584002366</c:v>
                </c:pt>
                <c:pt idx="78">
                  <c:v>51.519290037285216</c:v>
                </c:pt>
                <c:pt idx="79">
                  <c:v>51.328633135191772</c:v>
                </c:pt>
                <c:pt idx="80">
                  <c:v>51.143816169262678</c:v>
                </c:pt>
                <c:pt idx="81">
                  <c:v>50.964625304129868</c:v>
                </c:pt>
                <c:pt idx="82">
                  <c:v>50.79085692659433</c:v>
                </c:pt>
                <c:pt idx="83">
                  <c:v>50.762523021424926</c:v>
                </c:pt>
                <c:pt idx="84">
                  <c:v>50.88422111484175</c:v>
                </c:pt>
                <c:pt idx="85">
                  <c:v>51.005696795587475</c:v>
                </c:pt>
                <c:pt idx="86">
                  <c:v>51.126956297507881</c:v>
                </c:pt>
                <c:pt idx="87">
                  <c:v>51.24800555483418</c:v>
                </c:pt>
                <c:pt idx="88">
                  <c:v>51.368850218854007</c:v>
                </c:pt>
                <c:pt idx="89">
                  <c:v>51.489495673546159</c:v>
                </c:pt>
                <c:pt idx="90">
                  <c:v>51.609947050251527</c:v>
                </c:pt>
                <c:pt idx="91">
                  <c:v>51.730209241446296</c:v>
                </c:pt>
                <c:pt idx="92">
                  <c:v>51.85028691367863</c:v>
                </c:pt>
                <c:pt idx="93">
                  <c:v>51.970184519725571</c:v>
                </c:pt>
                <c:pt idx="94">
                  <c:v>52.089906310022371</c:v>
                </c:pt>
                <c:pt idx="95">
                  <c:v>52.209456343412768</c:v>
                </c:pt>
                <c:pt idx="96">
                  <c:v>52.32883849726479</c:v>
                </c:pt>
                <c:pt idx="97">
                  <c:v>52.448056476994211</c:v>
                </c:pt>
                <c:pt idx="98">
                  <c:v>52.567113825033488</c:v>
                </c:pt>
                <c:pt idx="99">
                  <c:v>52.686013929282623</c:v>
                </c:pt>
                <c:pt idx="100">
                  <c:v>52.804760031074586</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8.9371785852889349</c:v>
                </c:pt>
                <c:pt idx="1">
                  <c:v>9.1468760323341876</c:v>
                </c:pt>
                <c:pt idx="2">
                  <c:v>9.467091823792277</c:v>
                </c:pt>
                <c:pt idx="3">
                  <c:v>9.7873076199569251</c:v>
                </c:pt>
                <c:pt idx="4">
                  <c:v>10.107523420828104</c:v>
                </c:pt>
                <c:pt idx="5">
                  <c:v>10.42773922640583</c:v>
                </c:pt>
                <c:pt idx="6">
                  <c:v>10.802343153533855</c:v>
                </c:pt>
                <c:pt idx="7">
                  <c:v>12.975491098022571</c:v>
                </c:pt>
                <c:pt idx="8">
                  <c:v>15.254242159168303</c:v>
                </c:pt>
                <c:pt idx="9">
                  <c:v>17.638323859763887</c:v>
                </c:pt>
                <c:pt idx="10">
                  <c:v>20.127479989159141</c:v>
                </c:pt>
                <c:pt idx="11">
                  <c:v>22.721467922452241</c:v>
                </c:pt>
                <c:pt idx="12">
                  <c:v>25.420056602350812</c:v>
                </c:pt>
                <c:pt idx="13">
                  <c:v>27.586851241429635</c:v>
                </c:pt>
                <c:pt idx="14">
                  <c:v>29.701979925966913</c:v>
                </c:pt>
                <c:pt idx="15">
                  <c:v>31.816455659974473</c:v>
                </c:pt>
                <c:pt idx="16">
                  <c:v>33.930310377818117</c:v>
                </c:pt>
                <c:pt idx="17">
                  <c:v>36.043572944276526</c:v>
                </c:pt>
                <c:pt idx="18">
                  <c:v>38.156269614888771</c:v>
                </c:pt>
                <c:pt idx="19">
                  <c:v>40.268424405148096</c:v>
                </c:pt>
                <c:pt idx="20">
                  <c:v>42.380059390511491</c:v>
                </c:pt>
                <c:pt idx="21">
                  <c:v>44.491194953049778</c:v>
                </c:pt>
                <c:pt idx="22">
                  <c:v>46.601849986351269</c:v>
                </c:pt>
                <c:pt idx="23">
                  <c:v>48.712042067344704</c:v>
                </c:pt>
                <c:pt idx="24">
                  <c:v>50.821787601605209</c:v>
                </c:pt>
                <c:pt idx="25">
                  <c:v>52.931101947182334</c:v>
                </c:pt>
                <c:pt idx="26">
                  <c:v>55.039999520865415</c:v>
                </c:pt>
                <c:pt idx="27">
                  <c:v>57.148493889964442</c:v>
                </c:pt>
                <c:pt idx="28">
                  <c:v>59.256597852048188</c:v>
                </c:pt>
                <c:pt idx="29">
                  <c:v>61.364323504597699</c:v>
                </c:pt>
                <c:pt idx="30">
                  <c:v>63.471682306157348</c:v>
                </c:pt>
                <c:pt idx="31">
                  <c:v>65.578685130272149</c:v>
                </c:pt>
                <c:pt idx="32">
                  <c:v>67.685342313269416</c:v>
                </c:pt>
                <c:pt idx="33">
                  <c:v>69.791663696759102</c:v>
                </c:pt>
                <c:pt idx="34">
                  <c:v>71.897658665580067</c:v>
                </c:pt>
                <c:pt idx="35">
                  <c:v>74.003336181800691</c:v>
                </c:pt>
                <c:pt idx="36">
                  <c:v>76.108704815285719</c:v>
                </c:pt>
                <c:pt idx="37">
                  <c:v>78.213772771262541</c:v>
                </c:pt>
                <c:pt idx="38">
                  <c:v>80.318547915254996</c:v>
                </c:pt>
                <c:pt idx="39">
                  <c:v>82.423037795699216</c:v>
                </c:pt>
                <c:pt idx="40">
                  <c:v>84.527249664511118</c:v>
                </c:pt>
                <c:pt idx="41">
                  <c:v>86.631190495837657</c:v>
                </c:pt>
                <c:pt idx="42">
                  <c:v>88.734867003193713</c:v>
                </c:pt>
                <c:pt idx="43">
                  <c:v>90.838285655157279</c:v>
                </c:pt>
                <c:pt idx="44">
                  <c:v>92.941452689777066</c:v>
                </c:pt>
                <c:pt idx="45">
                  <c:v>95.044374127823275</c:v>
                </c:pt>
                <c:pt idx="46">
                  <c:v>97.147055784999608</c:v>
                </c:pt>
                <c:pt idx="47">
                  <c:v>99.249503283217805</c:v>
                </c:pt>
                <c:pt idx="48">
                  <c:v>101.35172206102602</c:v>
                </c:pt>
                <c:pt idx="49">
                  <c:v>103.45371738326992</c:v>
                </c:pt>
                <c:pt idx="50">
                  <c:v>105.55549435005857</c:v>
                </c:pt>
                <c:pt idx="51">
                  <c:v>107.46352760140864</c:v>
                </c:pt>
                <c:pt idx="52">
                  <c:v>108.94003059569904</c:v>
                </c:pt>
                <c:pt idx="53">
                  <c:v>110.41700571083157</c:v>
                </c:pt>
                <c:pt idx="54">
                  <c:v>111.89444857353438</c:v>
                </c:pt>
                <c:pt idx="55">
                  <c:v>113.37235501762515</c:v>
                </c:pt>
                <c:pt idx="56">
                  <c:v>114.85072107086819</c:v>
                </c:pt>
                <c:pt idx="57">
                  <c:v>116.32954294288476</c:v>
                </c:pt>
                <c:pt idx="58">
                  <c:v>117.80881701401461</c:v>
                </c:pt>
                <c:pt idx="59">
                  <c:v>119.28853982503895</c:v>
                </c:pt>
                <c:pt idx="60">
                  <c:v>120.76870806768552</c:v>
                </c:pt>
                <c:pt idx="61">
                  <c:v>122.24931857584313</c:v>
                </c:pt>
                <c:pt idx="62">
                  <c:v>123.73036831742284</c:v>
                </c:pt>
                <c:pt idx="63">
                  <c:v>125.21185438680831</c:v>
                </c:pt>
                <c:pt idx="64">
                  <c:v>126.69377399784376</c:v>
                </c:pt>
                <c:pt idx="65">
                  <c:v>128.17612447731395</c:v>
                </c:pt>
                <c:pt idx="66">
                  <c:v>129.65890325887429</c:v>
                </c:pt>
                <c:pt idx="67">
                  <c:v>131.14210787739404</c:v>
                </c:pt>
                <c:pt idx="68">
                  <c:v>132.62573596367812</c:v>
                </c:pt>
                <c:pt idx="69">
                  <c:v>134.10978523953798</c:v>
                </c:pt>
                <c:pt idx="70">
                  <c:v>135.59425351318271</c:v>
                </c:pt>
                <c:pt idx="71">
                  <c:v>137.07913867490632</c:v>
                </c:pt>
                <c:pt idx="72">
                  <c:v>138.56443869304729</c:v>
                </c:pt>
                <c:pt idx="73">
                  <c:v>140.05015161020054</c:v>
                </c:pt>
                <c:pt idx="74">
                  <c:v>141.53627553966234</c:v>
                </c:pt>
                <c:pt idx="75">
                  <c:v>143.02280866209097</c:v>
                </c:pt>
                <c:pt idx="76">
                  <c:v>144.50974922236713</c:v>
                </c:pt>
                <c:pt idx="77">
                  <c:v>145.99709552664078</c:v>
                </c:pt>
                <c:pt idx="78">
                  <c:v>147.48484593954896</c:v>
                </c:pt>
                <c:pt idx="79">
                  <c:v>148.97299888159543</c:v>
                </c:pt>
                <c:pt idx="80">
                  <c:v>150.46155282667752</c:v>
                </c:pt>
                <c:pt idx="81">
                  <c:v>151.95050629975364</c:v>
                </c:pt>
                <c:pt idx="82">
                  <c:v>153.43985787463924</c:v>
                </c:pt>
                <c:pt idx="83">
                  <c:v>155.02391178205829</c:v>
                </c:pt>
                <c:pt idx="84">
                  <c:v>156.70676151368991</c:v>
                </c:pt>
                <c:pt idx="85">
                  <c:v>158.38769924855652</c:v>
                </c:pt>
                <c:pt idx="86">
                  <c:v>160.06676629380178</c:v>
                </c:pt>
                <c:pt idx="87">
                  <c:v>161.74400295220411</c:v>
                </c:pt>
                <c:pt idx="88">
                  <c:v>163.41944855257663</c:v>
                </c:pt>
                <c:pt idx="89">
                  <c:v>165.09314147906696</c:v>
                </c:pt>
                <c:pt idx="90">
                  <c:v>166.7651191994027</c:v>
                </c:pt>
                <c:pt idx="91">
                  <c:v>168.43541829212836</c:v>
                </c:pt>
                <c:pt idx="92">
                  <c:v>170.10407447287369</c:v>
                </c:pt>
                <c:pt idx="93">
                  <c:v>171.77112261969478</c:v>
                </c:pt>
                <c:pt idx="94">
                  <c:v>173.43659679752599</c:v>
                </c:pt>
                <c:pt idx="95">
                  <c:v>175.10053028177907</c:v>
                </c:pt>
                <c:pt idx="96">
                  <c:v>176.76295558112298</c:v>
                </c:pt>
                <c:pt idx="97">
                  <c:v>178.42390445947933</c:v>
                </c:pt>
                <c:pt idx="98">
                  <c:v>180.08340795726349</c:v>
                </c:pt>
                <c:pt idx="99">
                  <c:v>181.74149641190235</c:v>
                </c:pt>
                <c:pt idx="100">
                  <c:v>183.39819947765656</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Single'!$AN$110:$AN$210</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346.89635907416937</c:v>
                </c:pt>
                <c:pt idx="92">
                  <c:v>343.12574647553714</c:v>
                </c:pt>
                <c:pt idx="93">
                  <c:v>339.43622231988616</c:v>
                </c:pt>
                <c:pt idx="94">
                  <c:v>335.8251986781853</c:v>
                </c:pt>
                <c:pt idx="95">
                  <c:v>332.29019658683598</c:v>
                </c:pt>
                <c:pt idx="96">
                  <c:v>328.82884037238978</c:v>
                </c:pt>
                <c:pt idx="97">
                  <c:v>325.4388523273135</c:v>
                </c:pt>
                <c:pt idx="98">
                  <c:v>322.11804771172882</c:v>
                </c:pt>
                <c:pt idx="99">
                  <c:v>318.86433005807493</c:v>
                </c:pt>
                <c:pt idx="100">
                  <c:v>315.67568675749413</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Single'!$AN$5:$AN$105</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Single'!$AN$216:$AN$316</c:f>
              <c:numCache>
                <c:formatCode>0.0</c:formatCode>
                <c:ptCount val="101"/>
                <c:pt idx="0">
                  <c:v>12</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1</c:v>
                </c:pt>
                <c:pt idx="2">
                  <c:v>2</c:v>
                </c:pt>
                <c:pt idx="3">
                  <c:v>3</c:v>
                </c:pt>
                <c:pt idx="4">
                  <c:v>4</c:v>
                </c:pt>
                <c:pt idx="5">
                  <c:v>5.0000000000000009</c:v>
                </c:pt>
                <c:pt idx="6">
                  <c:v>6</c:v>
                </c:pt>
                <c:pt idx="7">
                  <c:v>7.0000000000000009</c:v>
                </c:pt>
                <c:pt idx="8">
                  <c:v>8</c:v>
                </c:pt>
                <c:pt idx="9">
                  <c:v>9</c:v>
                </c:pt>
                <c:pt idx="10">
                  <c:v>10.000000000000002</c:v>
                </c:pt>
                <c:pt idx="11">
                  <c:v>11.000000000000002</c:v>
                </c:pt>
                <c:pt idx="12">
                  <c:v>12</c:v>
                </c:pt>
                <c:pt idx="13">
                  <c:v>13.000000000000002</c:v>
                </c:pt>
                <c:pt idx="14">
                  <c:v>14.000000000000002</c:v>
                </c:pt>
                <c:pt idx="15">
                  <c:v>15</c:v>
                </c:pt>
                <c:pt idx="16">
                  <c:v>16</c:v>
                </c:pt>
                <c:pt idx="17">
                  <c:v>17</c:v>
                </c:pt>
                <c:pt idx="18">
                  <c:v>18</c:v>
                </c:pt>
                <c:pt idx="19">
                  <c:v>19.000000000000004</c:v>
                </c:pt>
                <c:pt idx="20">
                  <c:v>20.000000000000004</c:v>
                </c:pt>
                <c:pt idx="21">
                  <c:v>21</c:v>
                </c:pt>
                <c:pt idx="22">
                  <c:v>22.000000000000004</c:v>
                </c:pt>
                <c:pt idx="23">
                  <c:v>23.000000000000004</c:v>
                </c:pt>
                <c:pt idx="24">
                  <c:v>24</c:v>
                </c:pt>
                <c:pt idx="25">
                  <c:v>25</c:v>
                </c:pt>
                <c:pt idx="26">
                  <c:v>26.000000000000004</c:v>
                </c:pt>
                <c:pt idx="27">
                  <c:v>27.000000000000004</c:v>
                </c:pt>
                <c:pt idx="28">
                  <c:v>28.000000000000004</c:v>
                </c:pt>
                <c:pt idx="29">
                  <c:v>28.999999999999996</c:v>
                </c:pt>
                <c:pt idx="30">
                  <c:v>30</c:v>
                </c:pt>
                <c:pt idx="31">
                  <c:v>31</c:v>
                </c:pt>
                <c:pt idx="32">
                  <c:v>32</c:v>
                </c:pt>
                <c:pt idx="33">
                  <c:v>33</c:v>
                </c:pt>
                <c:pt idx="34">
                  <c:v>34</c:v>
                </c:pt>
                <c:pt idx="35">
                  <c:v>34.999999999999993</c:v>
                </c:pt>
                <c:pt idx="36">
                  <c:v>36</c:v>
                </c:pt>
                <c:pt idx="37">
                  <c:v>37</c:v>
                </c:pt>
                <c:pt idx="38">
                  <c:v>38.000000000000007</c:v>
                </c:pt>
                <c:pt idx="39">
                  <c:v>39.000000000000007</c:v>
                </c:pt>
                <c:pt idx="40">
                  <c:v>40.000000000000007</c:v>
                </c:pt>
                <c:pt idx="41">
                  <c:v>41</c:v>
                </c:pt>
                <c:pt idx="42">
                  <c:v>42</c:v>
                </c:pt>
                <c:pt idx="43">
                  <c:v>43</c:v>
                </c:pt>
                <c:pt idx="44">
                  <c:v>44.000000000000007</c:v>
                </c:pt>
                <c:pt idx="45">
                  <c:v>45.000000000000007</c:v>
                </c:pt>
                <c:pt idx="46">
                  <c:v>46.000000000000007</c:v>
                </c:pt>
                <c:pt idx="47">
                  <c:v>47</c:v>
                </c:pt>
                <c:pt idx="48">
                  <c:v>48</c:v>
                </c:pt>
                <c:pt idx="49">
                  <c:v>49</c:v>
                </c:pt>
                <c:pt idx="50">
                  <c:v>50</c:v>
                </c:pt>
                <c:pt idx="51">
                  <c:v>51.000000000000007</c:v>
                </c:pt>
                <c:pt idx="52">
                  <c:v>52.000000000000007</c:v>
                </c:pt>
                <c:pt idx="53">
                  <c:v>53.000000000000007</c:v>
                </c:pt>
                <c:pt idx="54">
                  <c:v>54.000000000000007</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71</c:v>
                </c:pt>
                <c:pt idx="72">
                  <c:v>72</c:v>
                </c:pt>
                <c:pt idx="73">
                  <c:v>73</c:v>
                </c:pt>
                <c:pt idx="74">
                  <c:v>74</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87.000000000000014</c:v>
                </c:pt>
                <c:pt idx="88">
                  <c:v>88.000000000000014</c:v>
                </c:pt>
                <c:pt idx="89">
                  <c:v>89.000000000000014</c:v>
                </c:pt>
                <c:pt idx="90">
                  <c:v>90.000000000000014</c:v>
                </c:pt>
                <c:pt idx="91">
                  <c:v>91.000000000000014</c:v>
                </c:pt>
                <c:pt idx="92">
                  <c:v>92.000000000000014</c:v>
                </c:pt>
                <c:pt idx="93">
                  <c:v>93.000000000000014</c:v>
                </c:pt>
                <c:pt idx="94">
                  <c:v>94</c:v>
                </c:pt>
                <c:pt idx="95">
                  <c:v>95</c:v>
                </c:pt>
                <c:pt idx="96">
                  <c:v>96</c:v>
                </c:pt>
                <c:pt idx="97">
                  <c:v>97</c:v>
                </c:pt>
                <c:pt idx="98">
                  <c:v>98</c:v>
                </c:pt>
                <c:pt idx="99">
                  <c:v>99</c:v>
                </c:pt>
                <c:pt idx="100">
                  <c:v>100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347.15068191806546</c:v>
                </c:pt>
                <c:pt idx="45">
                  <c:v>339.43622231988616</c:v>
                </c:pt>
                <c:pt idx="46">
                  <c:v>332.05717400858424</c:v>
                </c:pt>
                <c:pt idx="47">
                  <c:v>324.99212775308251</c:v>
                </c:pt>
                <c:pt idx="48">
                  <c:v>318.22145842489323</c:v>
                </c:pt>
                <c:pt idx="49">
                  <c:v>311.72714294683431</c:v>
                </c:pt>
                <c:pt idx="50">
                  <c:v>305.49260008789759</c:v>
                </c:pt>
                <c:pt idx="51">
                  <c:v>299.50254910578195</c:v>
                </c:pt>
                <c:pt idx="52">
                  <c:v>293.74288469990148</c:v>
                </c:pt>
                <c:pt idx="53">
                  <c:v>288.20056612065804</c:v>
                </c:pt>
                <c:pt idx="54">
                  <c:v>282.86351859990509</c:v>
                </c:pt>
                <c:pt idx="55">
                  <c:v>277.72054553445236</c:v>
                </c:pt>
                <c:pt idx="56">
                  <c:v>272.76125007847992</c:v>
                </c:pt>
                <c:pt idx="57">
                  <c:v>267.97596498938378</c:v>
                </c:pt>
                <c:pt idx="58">
                  <c:v>263.35568973094627</c:v>
                </c:pt>
                <c:pt idx="59">
                  <c:v>258.89203397279459</c:v>
                </c:pt>
                <c:pt idx="60">
                  <c:v>254.57716673991465</c:v>
                </c:pt>
                <c:pt idx="61">
                  <c:v>250.40377056385049</c:v>
                </c:pt>
                <c:pt idx="62">
                  <c:v>246.36500007088515</c:v>
                </c:pt>
                <c:pt idx="63">
                  <c:v>242.45444451420445</c:v>
                </c:pt>
                <c:pt idx="64">
                  <c:v>238.66609381867002</c:v>
                </c:pt>
                <c:pt idx="65">
                  <c:v>234.99430775992121</c:v>
                </c:pt>
                <c:pt idx="66">
                  <c:v>231.43378794537688</c:v>
                </c:pt>
                <c:pt idx="67">
                  <c:v>227.97955230440115</c:v>
                </c:pt>
                <c:pt idx="68">
                  <c:v>224.62691182933642</c:v>
                </c:pt>
                <c:pt idx="69">
                  <c:v>221.37144933905626</c:v>
                </c:pt>
                <c:pt idx="70">
                  <c:v>218.20900006278399</c:v>
                </c:pt>
                <c:pt idx="71">
                  <c:v>215.13563386471662</c:v>
                </c:pt>
                <c:pt idx="72">
                  <c:v>212.14763894992888</c:v>
                </c:pt>
                <c:pt idx="73">
                  <c:v>209.2415069095189</c:v>
                </c:pt>
                <c:pt idx="74">
                  <c:v>206.41391897830925</c:v>
                </c:pt>
                <c:pt idx="75">
                  <c:v>203.66173339193173</c:v>
                </c:pt>
                <c:pt idx="76">
                  <c:v>200.98197374203781</c:v>
                </c:pt>
                <c:pt idx="77">
                  <c:v>198.99313715265509</c:v>
                </c:pt>
                <c:pt idx="78">
                  <c:v>197.83534138574859</c:v>
                </c:pt>
                <c:pt idx="79">
                  <c:v>196.69156082053618</c:v>
                </c:pt>
                <c:pt idx="80">
                  <c:v>195.56154250546746</c:v>
                </c:pt>
                <c:pt idx="81">
                  <c:v>194.445039539741</c:v>
                </c:pt>
                <c:pt idx="82">
                  <c:v>193.34181089345807</c:v>
                </c:pt>
                <c:pt idx="83">
                  <c:v>192.25162123415288</c:v>
                </c:pt>
                <c:pt idx="84">
                  <c:v>191.17424075943794</c:v>
                </c:pt>
                <c:pt idx="85">
                  <c:v>190.10944503551329</c:v>
                </c:pt>
                <c:pt idx="86">
                  <c:v>189.05701484130265</c:v>
                </c:pt>
                <c:pt idx="87">
                  <c:v>188.01673601798751</c:v>
                </c:pt>
                <c:pt idx="88">
                  <c:v>186.98839932372414</c:v>
                </c:pt>
                <c:pt idx="89">
                  <c:v>185.97180029333467</c:v>
                </c:pt>
                <c:pt idx="90">
                  <c:v>184.9667391027757</c:v>
                </c:pt>
                <c:pt idx="91">
                  <c:v>183.9730204381959</c:v>
                </c:pt>
                <c:pt idx="92">
                  <c:v>182.99045336940137</c:v>
                </c:pt>
                <c:pt idx="93">
                  <c:v>182.01885122755732</c:v>
                </c:pt>
                <c:pt idx="94">
                  <c:v>181.05803148696177</c:v>
                </c:pt>
                <c:pt idx="95">
                  <c:v>180.10781565073293</c:v>
                </c:pt>
                <c:pt idx="96">
                  <c:v>179.1680291402615</c:v>
                </c:pt>
                <c:pt idx="97">
                  <c:v>178.2385011882819</c:v>
                </c:pt>
                <c:pt idx="98">
                  <c:v>177.31906473542742</c:v>
                </c:pt>
                <c:pt idx="99">
                  <c:v>176.40955633013547</c:v>
                </c:pt>
                <c:pt idx="100">
                  <c:v>175.50981603177814</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347.87597831697911</c:v>
                </c:pt>
                <c:pt idx="52">
                  <c:v>341.18605565703723</c:v>
                </c:pt>
                <c:pt idx="53">
                  <c:v>334.74858290879121</c:v>
                </c:pt>
                <c:pt idx="54">
                  <c:v>328.54953507714697</c:v>
                </c:pt>
                <c:pt idx="55">
                  <c:v>322.57590716665339</c:v>
                </c:pt>
                <c:pt idx="56">
                  <c:v>316.815623110106</c:v>
                </c:pt>
                <c:pt idx="57">
                  <c:v>311.25745428361296</c:v>
                </c:pt>
                <c:pt idx="58">
                  <c:v>305.89094645113693</c:v>
                </c:pt>
                <c:pt idx="59">
                  <c:v>300.70635413840574</c:v>
                </c:pt>
                <c:pt idx="60">
                  <c:v>295.69458156943233</c:v>
                </c:pt>
                <c:pt idx="61">
                  <c:v>290.84712941255634</c:v>
                </c:pt>
                <c:pt idx="62">
                  <c:v>286.15604668009576</c:v>
                </c:pt>
                <c:pt idx="63">
                  <c:v>281.61388720898316</c:v>
                </c:pt>
                <c:pt idx="64">
                  <c:v>277.21367022134274</c:v>
                </c:pt>
                <c:pt idx="65">
                  <c:v>272.94884452562974</c:v>
                </c:pt>
                <c:pt idx="66">
                  <c:v>268.81325597221115</c:v>
                </c:pt>
                <c:pt idx="67">
                  <c:v>264.80111782337224</c:v>
                </c:pt>
                <c:pt idx="68">
                  <c:v>260.90698373773438</c:v>
                </c:pt>
                <c:pt idx="69">
                  <c:v>257.12572310385423</c:v>
                </c:pt>
                <c:pt idx="70">
                  <c:v>253.45249848808481</c:v>
                </c:pt>
                <c:pt idx="71">
                  <c:v>249.88274498825268</c:v>
                </c:pt>
                <c:pt idx="72">
                  <c:v>246.41215130786026</c:v>
                </c:pt>
                <c:pt idx="73">
                  <c:v>243.03664238583474</c:v>
                </c:pt>
                <c:pt idx="74">
                  <c:v>239.75236343467483</c:v>
                </c:pt>
                <c:pt idx="75">
                  <c:v>236.55566525554582</c:v>
                </c:pt>
                <c:pt idx="76">
                  <c:v>233.44309071270965</c:v>
                </c:pt>
                <c:pt idx="77">
                  <c:v>230.41136226189519</c:v>
                </c:pt>
                <c:pt idx="78">
                  <c:v>227.45737043802481</c:v>
                </c:pt>
                <c:pt idx="79">
                  <c:v>224.5781632172903</c:v>
                </c:pt>
                <c:pt idx="80">
                  <c:v>221.77093617707413</c:v>
                </c:pt>
                <c:pt idx="81">
                  <c:v>219.03302338476459</c:v>
                </c:pt>
                <c:pt idx="82">
                  <c:v>216.36188895324315</c:v>
                </c:pt>
                <c:pt idx="83">
                  <c:v>214.40116250826429</c:v>
                </c:pt>
                <c:pt idx="84">
                  <c:v>213.1540543178829</c:v>
                </c:pt>
                <c:pt idx="85">
                  <c:v>211.92199042789036</c:v>
                </c:pt>
                <c:pt idx="86">
                  <c:v>210.7047002434746</c:v>
                </c:pt>
                <c:pt idx="87">
                  <c:v>209.50191962056473</c:v>
                </c:pt>
                <c:pt idx="88">
                  <c:v>208.31339067474542</c:v>
                </c:pt>
                <c:pt idx="89">
                  <c:v>207.13886159692254</c:v>
                </c:pt>
                <c:pt idx="90">
                  <c:v>205.97808647546589</c:v>
                </c:pt>
                <c:pt idx="91">
                  <c:v>204.83082512456284</c:v>
                </c:pt>
                <c:pt idx="92">
                  <c:v>203.69684291853261</c:v>
                </c:pt>
                <c:pt idx="93">
                  <c:v>202.57591063186078</c:v>
                </c:pt>
                <c:pt idx="94">
                  <c:v>201.46780428472451</c:v>
                </c:pt>
                <c:pt idx="95">
                  <c:v>200.37230499379052</c:v>
                </c:pt>
                <c:pt idx="96">
                  <c:v>199.28919882807665</c:v>
                </c:pt>
                <c:pt idx="97">
                  <c:v>198.21827666967778</c:v>
                </c:pt>
                <c:pt idx="98">
                  <c:v>197.15933407916518</c:v>
                </c:pt>
                <c:pt idx="99">
                  <c:v>196.11217116547851</c:v>
                </c:pt>
                <c:pt idx="100">
                  <c:v>195.07659246013512</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28.973995271867622</c:v>
                </c:pt>
                <c:pt idx="2">
                  <c:v>57.947990543735244</c:v>
                </c:pt>
                <c:pt idx="3">
                  <c:v>86.921985815602866</c:v>
                </c:pt>
                <c:pt idx="4">
                  <c:v>115.89598108747049</c:v>
                </c:pt>
                <c:pt idx="5">
                  <c:v>144.86997635933812</c:v>
                </c:pt>
                <c:pt idx="6">
                  <c:v>173.84397163120573</c:v>
                </c:pt>
                <c:pt idx="7">
                  <c:v>202.81796690307337</c:v>
                </c:pt>
                <c:pt idx="8">
                  <c:v>231.79196217494098</c:v>
                </c:pt>
                <c:pt idx="9">
                  <c:v>260.76595744680856</c:v>
                </c:pt>
                <c:pt idx="10">
                  <c:v>289.73995271867625</c:v>
                </c:pt>
                <c:pt idx="11">
                  <c:v>318.71394799054383</c:v>
                </c:pt>
                <c:pt idx="12">
                  <c:v>347.68794326241147</c:v>
                </c:pt>
                <c:pt idx="13">
                  <c:v>350</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345.79480981280562</c:v>
                </c:pt>
                <c:pt idx="84">
                  <c:v>341.6782049340818</c:v>
                </c:pt>
                <c:pt idx="85">
                  <c:v>337.658461346622</c:v>
                </c:pt>
                <c:pt idx="86">
                  <c:v>333.73220016817288</c:v>
                </c:pt>
                <c:pt idx="87">
                  <c:v>329.89619786738939</c:v>
                </c:pt>
                <c:pt idx="88">
                  <c:v>326.14737743707803</c:v>
                </c:pt>
                <c:pt idx="89">
                  <c:v>322.48280016250419</c:v>
                </c:pt>
                <c:pt idx="90">
                  <c:v>318.89965793847642</c:v>
                </c:pt>
                <c:pt idx="91">
                  <c:v>315.3952660929985</c:v>
                </c:pt>
                <c:pt idx="92">
                  <c:v>311.96705667894429</c:v>
                </c:pt>
                <c:pt idx="93">
                  <c:v>308.61257219852547</c:v>
                </c:pt>
                <c:pt idx="94">
                  <c:v>305.32945972832846</c:v>
                </c:pt>
                <c:pt idx="95">
                  <c:v>302.11546541539866</c:v>
                </c:pt>
                <c:pt idx="96">
                  <c:v>298.96842931732158</c:v>
                </c:pt>
                <c:pt idx="97">
                  <c:v>295.88628056147292</c:v>
                </c:pt>
                <c:pt idx="98">
                  <c:v>292.8670328006416</c:v>
                </c:pt>
                <c:pt idx="99">
                  <c:v>289.90877994406952</c:v>
                </c:pt>
                <c:pt idx="100">
                  <c:v>287.00969214462879</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198.99313715265509</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5.0000000000000009</c:v>
                </c:pt>
                <c:pt idx="6">
                  <c:v>6</c:v>
                </c:pt>
                <c:pt idx="7">
                  <c:v>7.0000000000000009</c:v>
                </c:pt>
                <c:pt idx="8">
                  <c:v>8</c:v>
                </c:pt>
                <c:pt idx="9">
                  <c:v>8.9999999999999982</c:v>
                </c:pt>
                <c:pt idx="10">
                  <c:v>10.000000000000002</c:v>
                </c:pt>
                <c:pt idx="11">
                  <c:v>11</c:v>
                </c:pt>
                <c:pt idx="12">
                  <c:v>12</c:v>
                </c:pt>
                <c:pt idx="13">
                  <c:v>13</c:v>
                </c:pt>
                <c:pt idx="14">
                  <c:v>14.000000000000002</c:v>
                </c:pt>
                <c:pt idx="15">
                  <c:v>15</c:v>
                </c:pt>
                <c:pt idx="16">
                  <c:v>16</c:v>
                </c:pt>
                <c:pt idx="17">
                  <c:v>17</c:v>
                </c:pt>
                <c:pt idx="18">
                  <c:v>17.999999999999996</c:v>
                </c:pt>
                <c:pt idx="19">
                  <c:v>19.000000000000004</c:v>
                </c:pt>
                <c:pt idx="20">
                  <c:v>20.000000000000004</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34.999999999999993</c:v>
                </c:pt>
                <c:pt idx="36">
                  <c:v>35.999999999999993</c:v>
                </c:pt>
                <c:pt idx="37">
                  <c:v>36.999999999999993</c:v>
                </c:pt>
                <c:pt idx="38">
                  <c:v>38.000000000000007</c:v>
                </c:pt>
                <c:pt idx="39">
                  <c:v>39.000000000000007</c:v>
                </c:pt>
                <c:pt idx="40">
                  <c:v>40.000000000000007</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68.999999999999986</c:v>
                </c:pt>
                <c:pt idx="70">
                  <c:v>69.999999999999986</c:v>
                </c:pt>
                <c:pt idx="71">
                  <c:v>70.999999999999986</c:v>
                </c:pt>
                <c:pt idx="72">
                  <c:v>71.999999999999986</c:v>
                </c:pt>
                <c:pt idx="73">
                  <c:v>72.999999999999986</c:v>
                </c:pt>
                <c:pt idx="74">
                  <c:v>73.999999999999986</c:v>
                </c:pt>
                <c:pt idx="75">
                  <c:v>75.000000000000014</c:v>
                </c:pt>
                <c:pt idx="76">
                  <c:v>76.000000000000014</c:v>
                </c:pt>
                <c:pt idx="77">
                  <c:v>77.000000000000014</c:v>
                </c:pt>
                <c:pt idx="78">
                  <c:v>78.000000000000014</c:v>
                </c:pt>
                <c:pt idx="79">
                  <c:v>79.000000000000014</c:v>
                </c:pt>
                <c:pt idx="80">
                  <c:v>80.000000000000014</c:v>
                </c:pt>
                <c:pt idx="81">
                  <c:v>81.000000000000014</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15"/>
</file>

<file path=xl/ctrlProps/ctrlProp3.xml><?xml version="1.0" encoding="utf-8"?>
<formControlPr xmlns="http://schemas.microsoft.com/office/spreadsheetml/2009/9/main" objectType="Drop" dropStyle="combo" dx="22" fmlaLink="'Variable Mgmt'!$J$64" fmlaRange="'Variable Mgmt'!$I$62:$I$63" noThreeD="1" sel="1" val="0"/>
</file>

<file path=xl/ctrlProps/ctrlProp4.xml><?xml version="1.0" encoding="utf-8"?>
<formControlPr xmlns="http://schemas.microsoft.com/office/spreadsheetml/2009/9/main" objectType="Drop" dropLines="2" dropStyle="combo" dx="22" fmlaLink="'Variable Mgmt'!$G$64" fmlaRange="'Variable Mgmt'!$F$62:$F$63" noThreeD="1" sel="1" val="0"/>
</file>

<file path=xl/ctrlProps/ctrlProp5.xml><?xml version="1.0" encoding="utf-8"?>
<formControlPr xmlns="http://schemas.microsoft.com/office/spreadsheetml/2009/9/main" objectType="Drop" dropLines="10" dropStyle="combo" dx="22" fmlaLink="'Variable Mgmt'!$S$45" fmlaRange="'Variable Mgmt'!$R$28:$R$43" noThreeD="1" sel="9" val="6"/>
</file>

<file path=xl/ctrlProps/ctrlProp6.xml><?xml version="1.0" encoding="utf-8"?>
<formControlPr xmlns="http://schemas.microsoft.com/office/spreadsheetml/2009/9/main" objectType="Drop" dropStyle="combo" dx="22" fmlaLink="'Variable Mgmt'!$G$58" fmlaRange="'Variable Mgmt'!$F$56:$F$57" noThreeD="1" sel="1"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2"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144780</xdr:colOff>
          <xdr:row>0</xdr:row>
          <xdr:rowOff>381000</xdr:rowOff>
        </xdr:from>
        <xdr:to>
          <xdr:col>24</xdr:col>
          <xdr:colOff>525780</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763"/>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764"/>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47µH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15V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137160</xdr:colOff>
          <xdr:row>6</xdr:row>
          <xdr:rowOff>22860</xdr:rowOff>
        </xdr:from>
        <xdr:to>
          <xdr:col>5</xdr:col>
          <xdr:colOff>304800</xdr:colOff>
          <xdr:row>7</xdr:row>
          <xdr:rowOff>30480</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75kΩ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13V...26V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22860</xdr:colOff>
          <xdr:row>28</xdr:row>
          <xdr:rowOff>0</xdr:rowOff>
        </xdr:from>
        <xdr:to>
          <xdr:col>5</xdr:col>
          <xdr:colOff>289560</xdr:colOff>
          <xdr:row>29</xdr:row>
          <xdr:rowOff>30480</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Rtc</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150kΩ</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22860</xdr:colOff>
          <xdr:row>34</xdr:row>
          <xdr:rowOff>0</xdr:rowOff>
        </xdr:from>
        <xdr:to>
          <xdr:col>5</xdr:col>
          <xdr:colOff>259080</xdr:colOff>
          <xdr:row>35</xdr:row>
          <xdr:rowOff>0</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Ruv1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Ruv2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22860</xdr:colOff>
          <xdr:row>11</xdr:row>
          <xdr:rowOff>0</xdr:rowOff>
        </xdr:from>
        <xdr:to>
          <xdr:col>12</xdr:col>
          <xdr:colOff>68580</xdr:colOff>
          <xdr:row>12</xdr:row>
          <xdr:rowOff>22860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22860</xdr:rowOff>
        </xdr:from>
        <xdr:to>
          <xdr:col>5</xdr:col>
          <xdr:colOff>266700</xdr:colOff>
          <xdr:row>32</xdr:row>
          <xdr:rowOff>22860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86.1%</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765"/>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4</xdr:row>
          <xdr:rowOff>22860</xdr:rowOff>
        </xdr:from>
        <xdr:to>
          <xdr:col>5</xdr:col>
          <xdr:colOff>403860</xdr:colOff>
          <xdr:row>5</xdr:row>
          <xdr:rowOff>0</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19.5V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22860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22860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22860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22860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22860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22860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22860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22860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22860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22860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22860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22860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22860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413"/>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47µH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10µF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15V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0.1A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75kΩ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13V...26V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Rtc</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150kΩ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Ruv1</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Ruv2</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1</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899160</xdr:colOff>
          <xdr:row>32</xdr:row>
          <xdr:rowOff>22860</xdr:rowOff>
        </xdr:from>
        <xdr:to>
          <xdr:col>6</xdr:col>
          <xdr:colOff>868680</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22860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LM5181</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137160</xdr:rowOff>
        </xdr:from>
        <xdr:to>
          <xdr:col>1</xdr:col>
          <xdr:colOff>403860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182880</xdr:colOff>
          <xdr:row>111</xdr:row>
          <xdr:rowOff>144780</xdr:rowOff>
        </xdr:from>
        <xdr:to>
          <xdr:col>36</xdr:col>
          <xdr:colOff>22860</xdr:colOff>
          <xdr:row>125</xdr:row>
          <xdr:rowOff>144780</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75.5%</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75.5%</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86.1%</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86.1%</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45"/>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568"/>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893760" y="65171955"/>
          <a:ext cx="0" cy="433768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topLeftCell="K3" zoomScale="72" zoomScaleNormal="100" zoomScaleSheetLayoutView="70" workbookViewId="0">
      <selection activeCell="L10" sqref="L10"/>
    </sheetView>
  </sheetViews>
  <sheetFormatPr defaultColWidth="9.33203125" defaultRowHeight="13.8" x14ac:dyDescent="0.3"/>
  <cols>
    <col min="1" max="1" width="8.33203125" style="86" customWidth="1"/>
    <col min="2" max="2" width="8.33203125" style="35" customWidth="1"/>
    <col min="3" max="3" width="13.5546875" style="35" customWidth="1"/>
    <col min="4" max="4" width="9.6640625" style="35" customWidth="1"/>
    <col min="5" max="5" width="9.33203125" style="35" customWidth="1"/>
    <col min="6" max="6" width="8.6640625" style="35" customWidth="1"/>
    <col min="7" max="7" width="2.6640625" style="35" customWidth="1"/>
    <col min="8" max="9" width="8.33203125" style="35" customWidth="1"/>
    <col min="10" max="10" width="13.6640625" style="35" customWidth="1"/>
    <col min="11" max="11" width="10" style="35" customWidth="1"/>
    <col min="12" max="12" width="9.44140625" style="35" customWidth="1"/>
    <col min="13" max="13" width="8.6640625" style="35" customWidth="1"/>
    <col min="14" max="15" width="9.33203125" style="35"/>
    <col min="16" max="18" width="10.33203125" style="35" customWidth="1"/>
    <col min="19" max="19" width="10" style="35" bestFit="1" customWidth="1"/>
    <col min="20" max="25" width="9.33203125" style="35"/>
    <col min="26" max="26" width="29" style="35" customWidth="1"/>
    <col min="27" max="27" width="3.33203125" style="35" customWidth="1"/>
    <col min="28" max="16384" width="9.33203125" style="35"/>
  </cols>
  <sheetData>
    <row r="1" spans="1:27" ht="47.25" customHeight="1" x14ac:dyDescent="0.3">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55000000000000004">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2" customHeight="1" x14ac:dyDescent="0.55000000000000004">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4">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4">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3">
      <c r="A6" s="119"/>
      <c r="B6" s="120"/>
      <c r="C6" s="121"/>
      <c r="D6" s="122" t="s">
        <v>370</v>
      </c>
      <c r="E6" s="123">
        <v>13</v>
      </c>
      <c r="F6" s="369" t="s">
        <v>0</v>
      </c>
      <c r="G6" s="71"/>
      <c r="H6" s="394"/>
      <c r="I6" s="441"/>
      <c r="J6" s="181"/>
      <c r="K6" s="442" t="s">
        <v>675</v>
      </c>
      <c r="L6" s="627">
        <f>Lmin</f>
        <v>38.300000000000004</v>
      </c>
      <c r="M6" s="548" t="s">
        <v>96</v>
      </c>
      <c r="N6" s="38"/>
      <c r="O6" s="38"/>
      <c r="P6" s="38"/>
      <c r="Q6" s="38"/>
      <c r="R6" s="58"/>
      <c r="S6" s="58"/>
      <c r="T6" s="58"/>
      <c r="U6" s="58"/>
      <c r="V6" s="58"/>
      <c r="W6" s="58"/>
      <c r="X6" s="58"/>
      <c r="Y6" s="58"/>
      <c r="Z6" s="439"/>
      <c r="AA6" s="349"/>
    </row>
    <row r="7" spans="1:27" ht="14.25" customHeight="1" x14ac:dyDescent="0.35">
      <c r="A7" s="113"/>
      <c r="B7" s="112"/>
      <c r="C7" s="114"/>
      <c r="D7" s="124" t="s">
        <v>371</v>
      </c>
      <c r="E7" s="125">
        <v>15</v>
      </c>
      <c r="F7" s="370" t="s">
        <v>0</v>
      </c>
      <c r="G7" s="71"/>
      <c r="H7" s="69"/>
      <c r="I7" s="70"/>
      <c r="J7" s="68"/>
      <c r="K7" s="79" t="s">
        <v>368</v>
      </c>
      <c r="L7" s="125">
        <v>47</v>
      </c>
      <c r="M7" s="370" t="s">
        <v>96</v>
      </c>
      <c r="N7" s="38"/>
      <c r="O7" s="38"/>
      <c r="P7" s="38"/>
      <c r="Q7" s="38"/>
      <c r="R7" s="58"/>
      <c r="S7" s="58"/>
      <c r="T7" s="58"/>
      <c r="U7" s="58"/>
      <c r="V7" s="58"/>
      <c r="W7" s="58"/>
      <c r="X7" s="58"/>
      <c r="Y7" s="58"/>
      <c r="Z7" s="439"/>
      <c r="AA7" s="349"/>
    </row>
    <row r="8" spans="1:27" ht="15.75" customHeight="1" x14ac:dyDescent="0.3">
      <c r="A8" s="113"/>
      <c r="B8" s="112"/>
      <c r="C8" s="114"/>
      <c r="D8" s="124" t="s">
        <v>372</v>
      </c>
      <c r="E8" s="125">
        <v>26</v>
      </c>
      <c r="F8" s="370" t="s">
        <v>0</v>
      </c>
      <c r="G8" s="71"/>
      <c r="H8" s="69"/>
      <c r="I8" s="70"/>
      <c r="J8" s="68"/>
      <c r="K8" s="79" t="s">
        <v>537</v>
      </c>
      <c r="L8" s="125">
        <v>1000</v>
      </c>
      <c r="M8" s="370" t="s">
        <v>20</v>
      </c>
      <c r="N8" s="38"/>
      <c r="O8" s="38"/>
      <c r="P8" s="38"/>
      <c r="Q8" s="38"/>
      <c r="R8" s="58"/>
      <c r="S8" s="58"/>
      <c r="T8" s="58"/>
      <c r="U8" s="58"/>
      <c r="V8" s="58"/>
      <c r="W8" s="58"/>
      <c r="X8" s="58"/>
      <c r="Y8" s="58"/>
      <c r="Z8" s="439"/>
      <c r="AA8" s="349"/>
    </row>
    <row r="9" spans="1:27" ht="15.75" customHeight="1" x14ac:dyDescent="0.3">
      <c r="A9" s="113"/>
      <c r="B9" s="112"/>
      <c r="C9" s="114"/>
      <c r="D9" s="124" t="s">
        <v>369</v>
      </c>
      <c r="E9" s="506"/>
      <c r="F9" s="126"/>
      <c r="G9" s="71"/>
      <c r="H9" s="69"/>
      <c r="I9" s="70"/>
      <c r="J9" s="68"/>
      <c r="K9" s="79" t="str">
        <f>CHOOSE(MODE, "Secondary Winding DCR", "Secondary Winding #1 DCR")</f>
        <v>Secondary Winding DCR</v>
      </c>
      <c r="L9" s="125">
        <v>1000</v>
      </c>
      <c r="M9" s="370" t="s">
        <v>20</v>
      </c>
      <c r="N9" s="38"/>
      <c r="O9" s="38"/>
      <c r="P9" s="38"/>
      <c r="Q9" s="38"/>
      <c r="R9" s="58"/>
      <c r="S9" s="58"/>
      <c r="T9" s="58"/>
      <c r="U9" s="58"/>
      <c r="V9" s="58"/>
      <c r="W9" s="58"/>
      <c r="X9" s="58"/>
      <c r="Y9" s="58"/>
      <c r="Z9" s="439"/>
      <c r="AA9" s="349"/>
    </row>
    <row r="10" spans="1:27" ht="15.75" customHeight="1" x14ac:dyDescent="0.3">
      <c r="A10" s="113"/>
      <c r="B10" s="112"/>
      <c r="C10" s="114"/>
      <c r="D10" s="124" t="str">
        <f>CHOOSE(MODE, "Output Voltage, VOUT ", "Output Voltage, VOUT1")</f>
        <v xml:space="preserve">Output Voltage, VOUT </v>
      </c>
      <c r="E10" s="125">
        <v>15</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35">
      <c r="A11" s="116"/>
      <c r="B11" s="132"/>
      <c r="C11" s="440"/>
      <c r="D11" s="444" t="str">
        <f>CHOOSE(MODE, "Rated Output Current, IOUT ", "Rated Output Current, IOUT1")</f>
        <v xml:space="preserve">Rated Output Current, IOUT </v>
      </c>
      <c r="E11" s="445">
        <v>0.1</v>
      </c>
      <c r="F11" s="446" t="s">
        <v>1</v>
      </c>
      <c r="G11" s="71"/>
      <c r="H11" s="69"/>
      <c r="I11" s="58"/>
      <c r="J11" s="58"/>
      <c r="K11" s="79" t="s">
        <v>679</v>
      </c>
      <c r="L11" s="125">
        <v>1000</v>
      </c>
      <c r="M11" s="370" t="s">
        <v>678</v>
      </c>
      <c r="N11" s="38"/>
      <c r="O11" s="38"/>
      <c r="P11" s="38"/>
      <c r="Q11" s="38"/>
      <c r="R11" s="58"/>
      <c r="S11" s="58"/>
      <c r="T11" s="58"/>
      <c r="U11" s="58"/>
      <c r="V11" s="58"/>
      <c r="W11" s="58"/>
      <c r="X11" s="58"/>
      <c r="Y11" s="58"/>
      <c r="Z11" s="439"/>
      <c r="AA11" s="349"/>
    </row>
    <row r="12" spans="1:27" ht="15.75" customHeight="1" x14ac:dyDescent="0.3">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3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41</v>
      </c>
      <c r="M13" s="82" t="str">
        <f>CHOOSE(MODE, "V", "")</f>
        <v>V</v>
      </c>
      <c r="N13" s="38"/>
      <c r="O13" s="38"/>
      <c r="P13" s="38"/>
      <c r="Q13" s="38"/>
      <c r="R13" s="58"/>
      <c r="S13" s="58"/>
      <c r="T13" s="58"/>
      <c r="U13" s="58"/>
      <c r="V13" s="58"/>
      <c r="W13" s="58"/>
      <c r="X13" s="58"/>
      <c r="Y13" s="58"/>
      <c r="Z13" s="439"/>
      <c r="AA13" s="349"/>
    </row>
    <row r="14" spans="1:27" ht="15.75" customHeight="1" x14ac:dyDescent="0.3">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3">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0.15998157230436352</v>
      </c>
      <c r="M15" s="550" t="str">
        <f>CHOOSE(MODE, "A", "W")</f>
        <v>A</v>
      </c>
      <c r="N15" s="38"/>
      <c r="O15" s="38"/>
      <c r="P15" s="38"/>
      <c r="Q15" s="38"/>
      <c r="R15" s="58"/>
      <c r="S15" s="58"/>
      <c r="T15" s="58"/>
      <c r="U15" s="58"/>
      <c r="V15" s="58"/>
      <c r="W15" s="58"/>
      <c r="X15" s="58"/>
      <c r="Y15" s="58"/>
      <c r="Z15" s="439"/>
      <c r="AA15" s="349"/>
    </row>
    <row r="16" spans="1:27" ht="16.5" customHeight="1" thickBot="1" x14ac:dyDescent="0.4">
      <c r="A16" s="85" t="s">
        <v>297</v>
      </c>
      <c r="B16" s="73"/>
      <c r="C16" s="74"/>
      <c r="D16" s="74"/>
      <c r="E16" s="75"/>
      <c r="F16" s="74"/>
      <c r="G16" s="71"/>
      <c r="H16" s="625"/>
      <c r="I16" s="38"/>
      <c r="J16" s="38"/>
      <c r="K16" s="182" t="s">
        <v>673</v>
      </c>
      <c r="L16" s="635">
        <f>Don_Vinmin*100</f>
        <v>54.225352112676063</v>
      </c>
      <c r="M16" s="550" t="s">
        <v>674</v>
      </c>
      <c r="N16" s="38"/>
      <c r="O16" s="38"/>
      <c r="P16" s="38"/>
      <c r="Q16" s="38"/>
      <c r="R16" s="58"/>
      <c r="S16" s="58"/>
      <c r="T16" s="58"/>
      <c r="U16" s="58"/>
      <c r="V16" s="58"/>
      <c r="W16" s="58"/>
      <c r="X16" s="58"/>
      <c r="Y16" s="58"/>
      <c r="Z16" s="439"/>
      <c r="AA16" s="349"/>
    </row>
    <row r="17" spans="1:27" ht="15.75" customHeight="1" x14ac:dyDescent="0.3">
      <c r="A17" s="329"/>
      <c r="B17" s="501"/>
      <c r="C17" s="443"/>
      <c r="D17" s="181" t="s">
        <v>315</v>
      </c>
      <c r="E17" s="529">
        <f>'Variable Mgmt'!B127</f>
        <v>2.2000000000000002</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35">
      <c r="A18" s="76"/>
      <c r="B18" s="70"/>
      <c r="C18" s="74"/>
      <c r="D18" s="79" t="s">
        <v>141</v>
      </c>
      <c r="E18" s="77">
        <v>10</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3">
      <c r="A19" s="76"/>
      <c r="B19" s="70"/>
      <c r="C19" s="129"/>
      <c r="D19" s="124" t="s">
        <v>104</v>
      </c>
      <c r="E19" s="125">
        <v>3</v>
      </c>
      <c r="F19" s="370" t="s">
        <v>20</v>
      </c>
      <c r="G19" s="71"/>
      <c r="H19" s="70"/>
      <c r="I19" s="38"/>
      <c r="J19" s="38"/>
      <c r="K19" s="630" t="s">
        <v>809</v>
      </c>
      <c r="L19" s="631">
        <f>'Calculations - Single'!U105</f>
        <v>0.43980272700899337</v>
      </c>
      <c r="M19" s="70" t="s">
        <v>1</v>
      </c>
      <c r="N19" s="38"/>
      <c r="O19" s="38"/>
      <c r="P19" s="38"/>
      <c r="Q19" s="38"/>
      <c r="R19" s="58"/>
      <c r="S19" s="58"/>
      <c r="T19" s="58"/>
      <c r="U19" s="58"/>
      <c r="V19" s="58"/>
      <c r="W19" s="58"/>
      <c r="X19" s="58"/>
      <c r="Y19" s="58"/>
      <c r="Z19" s="439"/>
      <c r="AA19" s="349"/>
    </row>
    <row r="20" spans="1:27" ht="15.75" customHeight="1" thickBot="1" x14ac:dyDescent="0.4">
      <c r="A20" s="80"/>
      <c r="B20" s="81"/>
      <c r="C20" s="87"/>
      <c r="D20" s="182" t="s">
        <v>506</v>
      </c>
      <c r="E20" s="183">
        <f>Vinripple2</f>
        <v>16.241221924834498</v>
      </c>
      <c r="F20" s="84" t="s">
        <v>103</v>
      </c>
      <c r="G20" s="71"/>
      <c r="H20" s="70"/>
      <c r="I20" s="38"/>
      <c r="J20" s="38"/>
      <c r="K20" s="632" t="s">
        <v>810</v>
      </c>
      <c r="L20" s="633">
        <f>Nps*L19</f>
        <v>0.43980272700899337</v>
      </c>
      <c r="M20" s="83" t="s">
        <v>1</v>
      </c>
      <c r="N20" s="38"/>
      <c r="O20" s="38"/>
      <c r="P20" s="38"/>
      <c r="Q20" s="38"/>
      <c r="R20" s="58"/>
      <c r="S20" s="58"/>
      <c r="T20" s="58"/>
      <c r="U20" s="58"/>
      <c r="V20" s="58"/>
      <c r="W20" s="58"/>
      <c r="X20" s="58"/>
      <c r="Y20" s="58"/>
      <c r="Z20" s="439"/>
      <c r="AA20" s="349"/>
    </row>
    <row r="21" spans="1:27" ht="15.75" customHeight="1" thickBot="1" x14ac:dyDescent="0.35">
      <c r="A21" s="364"/>
      <c r="B21" s="365"/>
      <c r="C21" s="366"/>
      <c r="D21" s="366" t="str">
        <f>CHOOSE(MODE, "Minimum Output Capacitance", "Minimum Output Capacitance, Output #1")</f>
        <v>Minimum Output Capacitance</v>
      </c>
      <c r="E21" s="629">
        <f>'Variable Mgmt'!B102</f>
        <v>4.7</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3">
      <c r="A22" s="69"/>
      <c r="B22" s="70"/>
      <c r="C22" s="114"/>
      <c r="D22" s="130" t="s">
        <v>140</v>
      </c>
      <c r="E22" s="125">
        <v>10</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3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4">
      <c r="A24" s="80"/>
      <c r="B24" s="83"/>
      <c r="C24" s="83"/>
      <c r="D24" s="182" t="str">
        <f>CHOOSE(MODE, "Resulting Output Voltage Ripple", "Resulting Output Voltage Ripple, Output #1")</f>
        <v>Resulting Output Voltage Ripple</v>
      </c>
      <c r="E24" s="183">
        <f>Vripple1_actual</f>
        <v>14.803918696296293</v>
      </c>
      <c r="F24" s="84" t="s">
        <v>103</v>
      </c>
      <c r="G24" s="510"/>
      <c r="H24" s="83"/>
      <c r="I24" s="437"/>
      <c r="J24" s="436"/>
      <c r="K24" s="182" t="str">
        <f>CHOOSE(MODE, "", "Resulting Output Voltage Ripple, Output #2")</f>
        <v/>
      </c>
      <c r="L24" s="183">
        <f>Vripple2_actual</f>
        <v>7.2138541457963932</v>
      </c>
      <c r="M24" s="84" t="s">
        <v>103</v>
      </c>
      <c r="N24" s="38"/>
      <c r="O24" s="38"/>
      <c r="P24" s="38"/>
      <c r="Q24" s="38"/>
      <c r="R24" s="58"/>
      <c r="S24" s="58"/>
      <c r="T24" s="58"/>
      <c r="U24" s="58"/>
      <c r="V24" s="58"/>
      <c r="W24" s="58"/>
      <c r="X24" s="58"/>
      <c r="Y24" s="58"/>
      <c r="Z24" s="439"/>
      <c r="AA24" s="349"/>
    </row>
    <row r="25" spans="1:27" ht="13.5" customHeight="1" x14ac:dyDescent="0.3">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3">
      <c r="A27" s="119"/>
      <c r="B27" s="120"/>
      <c r="C27" s="181"/>
      <c r="D27" s="181" t="s">
        <v>374</v>
      </c>
      <c r="E27" s="503">
        <f>Rfb_recommend</f>
        <v>153.19999999999999</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35">
      <c r="A28" s="113"/>
      <c r="B28" s="112"/>
      <c r="C28" s="114"/>
      <c r="D28" s="130" t="s">
        <v>373</v>
      </c>
      <c r="E28" s="131">
        <v>75</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3">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3">
      <c r="A30" s="113"/>
      <c r="B30" s="112"/>
      <c r="C30" s="112"/>
      <c r="D30" s="128" t="str">
        <f>CHOOSE(MODE_SS,"Soft-Start Time","*Leave SS Pin Open or Supply by Ext. Bias")</f>
        <v>Soft-Start Time</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4">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3">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3">
      <c r="A33" s="113"/>
      <c r="B33" s="112"/>
      <c r="C33" s="112"/>
      <c r="D33" s="67" t="str">
        <f>CHOOSE(TC,"Diode Voltage Drop Thermal Coefficient","*Leave TC Pin Open")</f>
        <v>Diode Voltage Drop Thermal Coefficient</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35">
      <c r="A34" s="116"/>
      <c r="B34" s="132"/>
      <c r="C34" s="132"/>
      <c r="D34" s="440" t="s">
        <v>388</v>
      </c>
      <c r="E34" s="457">
        <f>RTC</f>
        <v>150</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3">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3">
      <c r="A36" s="113"/>
      <c r="B36" s="112"/>
      <c r="C36" s="129"/>
      <c r="D36" s="130" t="str">
        <f>CHOOSE(MODE_UVLO, "Input UVLO Turn-On Threshold", "*Connect EN pin to VIN or Logic HIGH")</f>
        <v>Input UVLO Turn-On Threshold</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35">
      <c r="A37" s="116"/>
      <c r="B37" s="132"/>
      <c r="C37" s="132"/>
      <c r="D37" s="374" t="str">
        <f>CHOOSE(MODE_UVLO, "Input UVLO Turn-Off Threshold", "")</f>
        <v>Input UVLO Turn-Off Threshold</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3">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3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3">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3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3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3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3">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3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5">
      <c r="A46" s="69"/>
      <c r="B46" s="70"/>
      <c r="C46" s="70"/>
      <c r="D46" s="68" t="s">
        <v>798</v>
      </c>
      <c r="E46" s="316">
        <f>CHOOSE(MODE, 'Calculations - Single'!BP105, 'Calculations - Dual'!BO105)</f>
        <v>62.771573428919062</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4">
      <c r="A47" s="80"/>
      <c r="B47" s="81"/>
      <c r="C47" s="81"/>
      <c r="D47" s="318" t="s">
        <v>799</v>
      </c>
      <c r="E47" s="447">
        <f>E45+E46/1000*ThetaJA</f>
        <v>57.573634510585684</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3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3">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3">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3">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3">
      <c r="A52" s="658"/>
      <c r="B52" s="70"/>
      <c r="C52" s="70"/>
      <c r="D52" s="68" t="s">
        <v>853</v>
      </c>
      <c r="E52" s="316">
        <f>(VIN_max/Npri_sec1+E10)*1.5</f>
        <v>61.5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3">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3">
      <c r="A54" s="650"/>
      <c r="B54" s="651"/>
      <c r="C54" s="651"/>
      <c r="D54" s="669" t="s">
        <v>854</v>
      </c>
      <c r="E54" s="670">
        <f>E52*E52*E51*0.000000000001*350000*4</f>
        <v>0.11649330000000001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3">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3">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3">
      <c r="A57" s="654"/>
      <c r="B57" s="655"/>
      <c r="C57" s="655"/>
      <c r="D57" s="656" t="str">
        <f>CHOOSE(MODE, "Min Load Current, IOUTmin ", "Min Load Current, IOUT1min")</f>
        <v xml:space="preserve">Min Load Current, IOUTmin </v>
      </c>
      <c r="E57" s="673">
        <v>0.01</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3">
      <c r="A58" s="658"/>
      <c r="B58" s="70"/>
      <c r="C58" s="70"/>
      <c r="D58" s="67" t="str">
        <f>CHOOSE(MODE,"Max Output Voltage Limit, VOUTmax","Max Output Voltage Limit, VOUT1max")</f>
        <v>Max Output Voltage Limit, VOUTmax</v>
      </c>
      <c r="E58" s="674">
        <v>17</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3">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3">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3">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3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3">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3">
      <c r="A64" s="35"/>
      <c r="R64" s="18"/>
      <c r="S64" s="18"/>
      <c r="T64" s="18"/>
      <c r="W64" s="18"/>
      <c r="X64" s="18"/>
      <c r="Y64" s="18"/>
      <c r="AB64" s="18"/>
      <c r="AC64" s="18"/>
      <c r="AD64" s="18"/>
      <c r="AG64" s="18"/>
      <c r="AH64" s="18"/>
      <c r="AI64" s="18"/>
    </row>
    <row r="65" spans="18:35" x14ac:dyDescent="0.3">
      <c r="R65" s="18"/>
      <c r="S65" s="18"/>
      <c r="T65" s="18"/>
      <c r="W65" s="18"/>
      <c r="X65" s="18"/>
      <c r="Y65" s="18"/>
      <c r="AB65" s="18"/>
      <c r="AC65" s="18"/>
      <c r="AD65" s="18"/>
      <c r="AG65" s="18"/>
      <c r="AH65" s="18"/>
      <c r="AI65" s="18"/>
    </row>
    <row r="66" spans="18:35" x14ac:dyDescent="0.3">
      <c r="R66" s="18"/>
      <c r="S66" s="18"/>
      <c r="T66" s="18"/>
      <c r="W66" s="18"/>
      <c r="X66" s="18"/>
      <c r="Y66" s="18"/>
      <c r="AB66" s="18"/>
      <c r="AC66" s="18"/>
      <c r="AD66" s="18"/>
      <c r="AG66" s="18"/>
      <c r="AH66" s="18"/>
      <c r="AI66" s="18"/>
    </row>
    <row r="67" spans="18:35" x14ac:dyDescent="0.3">
      <c r="R67" s="18"/>
      <c r="S67" s="18"/>
      <c r="T67" s="18"/>
      <c r="W67" s="18"/>
      <c r="X67" s="18"/>
      <c r="Y67" s="18"/>
      <c r="AB67" s="18"/>
      <c r="AC67" s="18"/>
      <c r="AD67" s="18"/>
      <c r="AG67" s="18"/>
      <c r="AH67" s="18"/>
      <c r="AI67" s="18"/>
    </row>
    <row r="68" spans="18:35" x14ac:dyDescent="0.3">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144780</xdr:colOff>
                    <xdr:row>0</xdr:row>
                    <xdr:rowOff>381000</xdr:rowOff>
                  </from>
                  <to>
                    <xdr:col>24</xdr:col>
                    <xdr:colOff>525780</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137160</xdr:colOff>
                    <xdr:row>6</xdr:row>
                    <xdr:rowOff>22860</xdr:rowOff>
                  </from>
                  <to>
                    <xdr:col>5</xdr:col>
                    <xdr:colOff>304800</xdr:colOff>
                    <xdr:row>7</xdr:row>
                    <xdr:rowOff>30480</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22860</xdr:colOff>
                    <xdr:row>28</xdr:row>
                    <xdr:rowOff>0</xdr:rowOff>
                  </from>
                  <to>
                    <xdr:col>5</xdr:col>
                    <xdr:colOff>289560</xdr:colOff>
                    <xdr:row>29</xdr:row>
                    <xdr:rowOff>30480</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22860</xdr:colOff>
                    <xdr:row>34</xdr:row>
                    <xdr:rowOff>0</xdr:rowOff>
                  </from>
                  <to>
                    <xdr:col>5</xdr:col>
                    <xdr:colOff>259080</xdr:colOff>
                    <xdr:row>34</xdr:row>
                    <xdr:rowOff>213360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22860</xdr:colOff>
                    <xdr:row>11</xdr:row>
                    <xdr:rowOff>0</xdr:rowOff>
                  </from>
                  <to>
                    <xdr:col>12</xdr:col>
                    <xdr:colOff>68580</xdr:colOff>
                    <xdr:row>12</xdr:row>
                    <xdr:rowOff>22860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22860</xdr:rowOff>
                  </from>
                  <to>
                    <xdr:col>5</xdr:col>
                    <xdr:colOff>266700</xdr:colOff>
                    <xdr:row>32</xdr:row>
                    <xdr:rowOff>22860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30480</xdr:colOff>
                    <xdr:row>4</xdr:row>
                    <xdr:rowOff>22860</xdr:rowOff>
                  </from>
                  <to>
                    <xdr:col>5</xdr:col>
                    <xdr:colOff>403860</xdr:colOff>
                    <xdr:row>4</xdr:row>
                    <xdr:rowOff>251460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zoomScale="72" zoomScaleNormal="70" workbookViewId="0">
      <selection activeCell="Q30" sqref="Q30"/>
    </sheetView>
  </sheetViews>
  <sheetFormatPr defaultRowHeight="13.2" x14ac:dyDescent="0.25"/>
  <cols>
    <col min="1" max="1" width="9.5546875" style="92" customWidth="1"/>
    <col min="2" max="2" width="11.44140625" style="92" customWidth="1"/>
    <col min="3" max="3" width="13.44140625" style="92" customWidth="1"/>
    <col min="4" max="4" width="20.33203125" style="92" customWidth="1"/>
    <col min="5" max="5" width="17.33203125" style="92" customWidth="1"/>
    <col min="6" max="6" width="13.5546875" style="92" customWidth="1"/>
    <col min="7" max="7" width="16.33203125" style="92" customWidth="1"/>
    <col min="8" max="8" width="18.33203125" style="92" customWidth="1"/>
    <col min="9" max="9" width="10.6640625" style="92" customWidth="1"/>
    <col min="10" max="10" width="15.6640625" style="92" customWidth="1"/>
    <col min="11" max="11" width="11.6640625" style="401" customWidth="1"/>
    <col min="12" max="12" width="7.6640625" style="400" customWidth="1"/>
    <col min="13" max="13" width="11.6640625" style="92" customWidth="1"/>
    <col min="14" max="254" width="9.33203125" style="92"/>
    <col min="255" max="255" width="8.6640625" style="92" bestFit="1" customWidth="1"/>
    <col min="256" max="256" width="13.33203125" style="92" customWidth="1"/>
    <col min="257" max="257" width="16.33203125" style="92" bestFit="1" customWidth="1"/>
    <col min="258" max="258" width="23.5546875" style="92" customWidth="1"/>
    <col min="259" max="259" width="17.33203125" style="92" customWidth="1"/>
    <col min="260" max="260" width="20.5546875" style="92" bestFit="1" customWidth="1"/>
    <col min="261" max="261" width="17.33203125" style="92" customWidth="1"/>
    <col min="262" max="262" width="21.6640625" style="92" bestFit="1" customWidth="1"/>
    <col min="263" max="263" width="17.33203125" style="92" bestFit="1" customWidth="1"/>
    <col min="264" max="264" width="18.33203125" style="92" bestFit="1" customWidth="1"/>
    <col min="265" max="265" width="26.44140625" style="92" customWidth="1"/>
    <col min="266" max="510" width="9.33203125" style="92"/>
    <col min="511" max="511" width="8.6640625" style="92" bestFit="1" customWidth="1"/>
    <col min="512" max="512" width="13.33203125" style="92" customWidth="1"/>
    <col min="513" max="513" width="16.33203125" style="92" bestFit="1" customWidth="1"/>
    <col min="514" max="514" width="23.5546875" style="92" customWidth="1"/>
    <col min="515" max="515" width="17.33203125" style="92" customWidth="1"/>
    <col min="516" max="516" width="20.5546875" style="92" bestFit="1" customWidth="1"/>
    <col min="517" max="517" width="17.33203125" style="92" customWidth="1"/>
    <col min="518" max="518" width="21.6640625" style="92" bestFit="1" customWidth="1"/>
    <col min="519" max="519" width="17.33203125" style="92" bestFit="1" customWidth="1"/>
    <col min="520" max="520" width="18.33203125" style="92" bestFit="1" customWidth="1"/>
    <col min="521" max="521" width="26.44140625" style="92" customWidth="1"/>
    <col min="522" max="766" width="9.33203125" style="92"/>
    <col min="767" max="767" width="8.6640625" style="92" bestFit="1" customWidth="1"/>
    <col min="768" max="768" width="13.33203125" style="92" customWidth="1"/>
    <col min="769" max="769" width="16.33203125" style="92" bestFit="1" customWidth="1"/>
    <col min="770" max="770" width="23.5546875" style="92" customWidth="1"/>
    <col min="771" max="771" width="17.33203125" style="92" customWidth="1"/>
    <col min="772" max="772" width="20.5546875" style="92" bestFit="1" customWidth="1"/>
    <col min="773" max="773" width="17.33203125" style="92" customWidth="1"/>
    <col min="774" max="774" width="21.6640625" style="92" bestFit="1" customWidth="1"/>
    <col min="775" max="775" width="17.33203125" style="92" bestFit="1" customWidth="1"/>
    <col min="776" max="776" width="18.33203125" style="92" bestFit="1" customWidth="1"/>
    <col min="777" max="777" width="26.44140625" style="92" customWidth="1"/>
    <col min="778" max="1022" width="9.33203125" style="92"/>
    <col min="1023" max="1023" width="8.6640625" style="92" bestFit="1" customWidth="1"/>
    <col min="1024" max="1024" width="13.33203125" style="92" customWidth="1"/>
    <col min="1025" max="1025" width="16.33203125" style="92" bestFit="1" customWidth="1"/>
    <col min="1026" max="1026" width="23.5546875" style="92" customWidth="1"/>
    <col min="1027" max="1027" width="17.33203125" style="92" customWidth="1"/>
    <col min="1028" max="1028" width="20.5546875" style="92" bestFit="1" customWidth="1"/>
    <col min="1029" max="1029" width="17.33203125" style="92" customWidth="1"/>
    <col min="1030" max="1030" width="21.6640625" style="92" bestFit="1" customWidth="1"/>
    <col min="1031" max="1031" width="17.33203125" style="92" bestFit="1" customWidth="1"/>
    <col min="1032" max="1032" width="18.33203125" style="92" bestFit="1" customWidth="1"/>
    <col min="1033" max="1033" width="26.44140625" style="92" customWidth="1"/>
    <col min="1034" max="1278" width="9.33203125" style="92"/>
    <col min="1279" max="1279" width="8.6640625" style="92" bestFit="1" customWidth="1"/>
    <col min="1280" max="1280" width="13.33203125" style="92" customWidth="1"/>
    <col min="1281" max="1281" width="16.33203125" style="92" bestFit="1" customWidth="1"/>
    <col min="1282" max="1282" width="23.5546875" style="92" customWidth="1"/>
    <col min="1283" max="1283" width="17.33203125" style="92" customWidth="1"/>
    <col min="1284" max="1284" width="20.5546875" style="92" bestFit="1" customWidth="1"/>
    <col min="1285" max="1285" width="17.33203125" style="92" customWidth="1"/>
    <col min="1286" max="1286" width="21.6640625" style="92" bestFit="1" customWidth="1"/>
    <col min="1287" max="1287" width="17.33203125" style="92" bestFit="1" customWidth="1"/>
    <col min="1288" max="1288" width="18.33203125" style="92" bestFit="1" customWidth="1"/>
    <col min="1289" max="1289" width="26.44140625" style="92" customWidth="1"/>
    <col min="1290" max="1534" width="9.33203125" style="92"/>
    <col min="1535" max="1535" width="8.6640625" style="92" bestFit="1" customWidth="1"/>
    <col min="1536" max="1536" width="13.33203125" style="92" customWidth="1"/>
    <col min="1537" max="1537" width="16.33203125" style="92" bestFit="1" customWidth="1"/>
    <col min="1538" max="1538" width="23.5546875" style="92" customWidth="1"/>
    <col min="1539" max="1539" width="17.33203125" style="92" customWidth="1"/>
    <col min="1540" max="1540" width="20.5546875" style="92" bestFit="1" customWidth="1"/>
    <col min="1541" max="1541" width="17.33203125" style="92" customWidth="1"/>
    <col min="1542" max="1542" width="21.6640625" style="92" bestFit="1" customWidth="1"/>
    <col min="1543" max="1543" width="17.33203125" style="92" bestFit="1" customWidth="1"/>
    <col min="1544" max="1544" width="18.33203125" style="92" bestFit="1" customWidth="1"/>
    <col min="1545" max="1545" width="26.44140625" style="92" customWidth="1"/>
    <col min="1546" max="1790" width="9.33203125" style="92"/>
    <col min="1791" max="1791" width="8.6640625" style="92" bestFit="1" customWidth="1"/>
    <col min="1792" max="1792" width="13.33203125" style="92" customWidth="1"/>
    <col min="1793" max="1793" width="16.33203125" style="92" bestFit="1" customWidth="1"/>
    <col min="1794" max="1794" width="23.5546875" style="92" customWidth="1"/>
    <col min="1795" max="1795" width="17.33203125" style="92" customWidth="1"/>
    <col min="1796" max="1796" width="20.5546875" style="92" bestFit="1" customWidth="1"/>
    <col min="1797" max="1797" width="17.33203125" style="92" customWidth="1"/>
    <col min="1798" max="1798" width="21.6640625" style="92" bestFit="1" customWidth="1"/>
    <col min="1799" max="1799" width="17.33203125" style="92" bestFit="1" customWidth="1"/>
    <col min="1800" max="1800" width="18.33203125" style="92" bestFit="1" customWidth="1"/>
    <col min="1801" max="1801" width="26.44140625" style="92" customWidth="1"/>
    <col min="1802" max="2046" width="9.33203125" style="92"/>
    <col min="2047" max="2047" width="8.6640625" style="92" bestFit="1" customWidth="1"/>
    <col min="2048" max="2048" width="13.33203125" style="92" customWidth="1"/>
    <col min="2049" max="2049" width="16.33203125" style="92" bestFit="1" customWidth="1"/>
    <col min="2050" max="2050" width="23.5546875" style="92" customWidth="1"/>
    <col min="2051" max="2051" width="17.33203125" style="92" customWidth="1"/>
    <col min="2052" max="2052" width="20.5546875" style="92" bestFit="1" customWidth="1"/>
    <col min="2053" max="2053" width="17.33203125" style="92" customWidth="1"/>
    <col min="2054" max="2054" width="21.6640625" style="92" bestFit="1" customWidth="1"/>
    <col min="2055" max="2055" width="17.33203125" style="92" bestFit="1" customWidth="1"/>
    <col min="2056" max="2056" width="18.33203125" style="92" bestFit="1" customWidth="1"/>
    <col min="2057" max="2057" width="26.44140625" style="92" customWidth="1"/>
    <col min="2058" max="2302" width="9.33203125" style="92"/>
    <col min="2303" max="2303" width="8.6640625" style="92" bestFit="1" customWidth="1"/>
    <col min="2304" max="2304" width="13.33203125" style="92" customWidth="1"/>
    <col min="2305" max="2305" width="16.33203125" style="92" bestFit="1" customWidth="1"/>
    <col min="2306" max="2306" width="23.5546875" style="92" customWidth="1"/>
    <col min="2307" max="2307" width="17.33203125" style="92" customWidth="1"/>
    <col min="2308" max="2308" width="20.5546875" style="92" bestFit="1" customWidth="1"/>
    <col min="2309" max="2309" width="17.33203125" style="92" customWidth="1"/>
    <col min="2310" max="2310" width="21.6640625" style="92" bestFit="1" customWidth="1"/>
    <col min="2311" max="2311" width="17.33203125" style="92" bestFit="1" customWidth="1"/>
    <col min="2312" max="2312" width="18.33203125" style="92" bestFit="1" customWidth="1"/>
    <col min="2313" max="2313" width="26.44140625" style="92" customWidth="1"/>
    <col min="2314" max="2558" width="9.33203125" style="92"/>
    <col min="2559" max="2559" width="8.6640625" style="92" bestFit="1" customWidth="1"/>
    <col min="2560" max="2560" width="13.33203125" style="92" customWidth="1"/>
    <col min="2561" max="2561" width="16.33203125" style="92" bestFit="1" customWidth="1"/>
    <col min="2562" max="2562" width="23.5546875" style="92" customWidth="1"/>
    <col min="2563" max="2563" width="17.33203125" style="92" customWidth="1"/>
    <col min="2564" max="2564" width="20.5546875" style="92" bestFit="1" customWidth="1"/>
    <col min="2565" max="2565" width="17.33203125" style="92" customWidth="1"/>
    <col min="2566" max="2566" width="21.6640625" style="92" bestFit="1" customWidth="1"/>
    <col min="2567" max="2567" width="17.33203125" style="92" bestFit="1" customWidth="1"/>
    <col min="2568" max="2568" width="18.33203125" style="92" bestFit="1" customWidth="1"/>
    <col min="2569" max="2569" width="26.44140625" style="92" customWidth="1"/>
    <col min="2570" max="2814" width="9.33203125" style="92"/>
    <col min="2815" max="2815" width="8.6640625" style="92" bestFit="1" customWidth="1"/>
    <col min="2816" max="2816" width="13.33203125" style="92" customWidth="1"/>
    <col min="2817" max="2817" width="16.33203125" style="92" bestFit="1" customWidth="1"/>
    <col min="2818" max="2818" width="23.5546875" style="92" customWidth="1"/>
    <col min="2819" max="2819" width="17.33203125" style="92" customWidth="1"/>
    <col min="2820" max="2820" width="20.5546875" style="92" bestFit="1" customWidth="1"/>
    <col min="2821" max="2821" width="17.33203125" style="92" customWidth="1"/>
    <col min="2822" max="2822" width="21.6640625" style="92" bestFit="1" customWidth="1"/>
    <col min="2823" max="2823" width="17.33203125" style="92" bestFit="1" customWidth="1"/>
    <col min="2824" max="2824" width="18.33203125" style="92" bestFit="1" customWidth="1"/>
    <col min="2825" max="2825" width="26.44140625" style="92" customWidth="1"/>
    <col min="2826" max="3070" width="9.33203125" style="92"/>
    <col min="3071" max="3071" width="8.6640625" style="92" bestFit="1" customWidth="1"/>
    <col min="3072" max="3072" width="13.33203125" style="92" customWidth="1"/>
    <col min="3073" max="3073" width="16.33203125" style="92" bestFit="1" customWidth="1"/>
    <col min="3074" max="3074" width="23.5546875" style="92" customWidth="1"/>
    <col min="3075" max="3075" width="17.33203125" style="92" customWidth="1"/>
    <col min="3076" max="3076" width="20.5546875" style="92" bestFit="1" customWidth="1"/>
    <col min="3077" max="3077" width="17.33203125" style="92" customWidth="1"/>
    <col min="3078" max="3078" width="21.6640625" style="92" bestFit="1" customWidth="1"/>
    <col min="3079" max="3079" width="17.33203125" style="92" bestFit="1" customWidth="1"/>
    <col min="3080" max="3080" width="18.33203125" style="92" bestFit="1" customWidth="1"/>
    <col min="3081" max="3081" width="26.44140625" style="92" customWidth="1"/>
    <col min="3082" max="3326" width="9.33203125" style="92"/>
    <col min="3327" max="3327" width="8.6640625" style="92" bestFit="1" customWidth="1"/>
    <col min="3328" max="3328" width="13.33203125" style="92" customWidth="1"/>
    <col min="3329" max="3329" width="16.33203125" style="92" bestFit="1" customWidth="1"/>
    <col min="3330" max="3330" width="23.5546875" style="92" customWidth="1"/>
    <col min="3331" max="3331" width="17.33203125" style="92" customWidth="1"/>
    <col min="3332" max="3332" width="20.5546875" style="92" bestFit="1" customWidth="1"/>
    <col min="3333" max="3333" width="17.33203125" style="92" customWidth="1"/>
    <col min="3334" max="3334" width="21.6640625" style="92" bestFit="1" customWidth="1"/>
    <col min="3335" max="3335" width="17.33203125" style="92" bestFit="1" customWidth="1"/>
    <col min="3336" max="3336" width="18.33203125" style="92" bestFit="1" customWidth="1"/>
    <col min="3337" max="3337" width="26.44140625" style="92" customWidth="1"/>
    <col min="3338" max="3582" width="9.33203125" style="92"/>
    <col min="3583" max="3583" width="8.6640625" style="92" bestFit="1" customWidth="1"/>
    <col min="3584" max="3584" width="13.33203125" style="92" customWidth="1"/>
    <col min="3585" max="3585" width="16.33203125" style="92" bestFit="1" customWidth="1"/>
    <col min="3586" max="3586" width="23.5546875" style="92" customWidth="1"/>
    <col min="3587" max="3587" width="17.33203125" style="92" customWidth="1"/>
    <col min="3588" max="3588" width="20.5546875" style="92" bestFit="1" customWidth="1"/>
    <col min="3589" max="3589" width="17.33203125" style="92" customWidth="1"/>
    <col min="3590" max="3590" width="21.6640625" style="92" bestFit="1" customWidth="1"/>
    <col min="3591" max="3591" width="17.33203125" style="92" bestFit="1" customWidth="1"/>
    <col min="3592" max="3592" width="18.33203125" style="92" bestFit="1" customWidth="1"/>
    <col min="3593" max="3593" width="26.44140625" style="92" customWidth="1"/>
    <col min="3594" max="3838" width="9.33203125" style="92"/>
    <col min="3839" max="3839" width="8.6640625" style="92" bestFit="1" customWidth="1"/>
    <col min="3840" max="3840" width="13.33203125" style="92" customWidth="1"/>
    <col min="3841" max="3841" width="16.33203125" style="92" bestFit="1" customWidth="1"/>
    <col min="3842" max="3842" width="23.5546875" style="92" customWidth="1"/>
    <col min="3843" max="3843" width="17.33203125" style="92" customWidth="1"/>
    <col min="3844" max="3844" width="20.5546875" style="92" bestFit="1" customWidth="1"/>
    <col min="3845" max="3845" width="17.33203125" style="92" customWidth="1"/>
    <col min="3846" max="3846" width="21.6640625" style="92" bestFit="1" customWidth="1"/>
    <col min="3847" max="3847" width="17.33203125" style="92" bestFit="1" customWidth="1"/>
    <col min="3848" max="3848" width="18.33203125" style="92" bestFit="1" customWidth="1"/>
    <col min="3849" max="3849" width="26.44140625" style="92" customWidth="1"/>
    <col min="3850" max="4094" width="9.33203125" style="92"/>
    <col min="4095" max="4095" width="8.6640625" style="92" bestFit="1" customWidth="1"/>
    <col min="4096" max="4096" width="13.33203125" style="92" customWidth="1"/>
    <col min="4097" max="4097" width="16.33203125" style="92" bestFit="1" customWidth="1"/>
    <col min="4098" max="4098" width="23.5546875" style="92" customWidth="1"/>
    <col min="4099" max="4099" width="17.33203125" style="92" customWidth="1"/>
    <col min="4100" max="4100" width="20.5546875" style="92" bestFit="1" customWidth="1"/>
    <col min="4101" max="4101" width="17.33203125" style="92" customWidth="1"/>
    <col min="4102" max="4102" width="21.6640625" style="92" bestFit="1" customWidth="1"/>
    <col min="4103" max="4103" width="17.33203125" style="92" bestFit="1" customWidth="1"/>
    <col min="4104" max="4104" width="18.33203125" style="92" bestFit="1" customWidth="1"/>
    <col min="4105" max="4105" width="26.44140625" style="92" customWidth="1"/>
    <col min="4106" max="4350" width="9.33203125" style="92"/>
    <col min="4351" max="4351" width="8.6640625" style="92" bestFit="1" customWidth="1"/>
    <col min="4352" max="4352" width="13.33203125" style="92" customWidth="1"/>
    <col min="4353" max="4353" width="16.33203125" style="92" bestFit="1" customWidth="1"/>
    <col min="4354" max="4354" width="23.5546875" style="92" customWidth="1"/>
    <col min="4355" max="4355" width="17.33203125" style="92" customWidth="1"/>
    <col min="4356" max="4356" width="20.5546875" style="92" bestFit="1" customWidth="1"/>
    <col min="4357" max="4357" width="17.33203125" style="92" customWidth="1"/>
    <col min="4358" max="4358" width="21.6640625" style="92" bestFit="1" customWidth="1"/>
    <col min="4359" max="4359" width="17.33203125" style="92" bestFit="1" customWidth="1"/>
    <col min="4360" max="4360" width="18.33203125" style="92" bestFit="1" customWidth="1"/>
    <col min="4361" max="4361" width="26.44140625" style="92" customWidth="1"/>
    <col min="4362" max="4606" width="9.33203125" style="92"/>
    <col min="4607" max="4607" width="8.6640625" style="92" bestFit="1" customWidth="1"/>
    <col min="4608" max="4608" width="13.33203125" style="92" customWidth="1"/>
    <col min="4609" max="4609" width="16.33203125" style="92" bestFit="1" customWidth="1"/>
    <col min="4610" max="4610" width="23.5546875" style="92" customWidth="1"/>
    <col min="4611" max="4611" width="17.33203125" style="92" customWidth="1"/>
    <col min="4612" max="4612" width="20.5546875" style="92" bestFit="1" customWidth="1"/>
    <col min="4613" max="4613" width="17.33203125" style="92" customWidth="1"/>
    <col min="4614" max="4614" width="21.6640625" style="92" bestFit="1" customWidth="1"/>
    <col min="4615" max="4615" width="17.33203125" style="92" bestFit="1" customWidth="1"/>
    <col min="4616" max="4616" width="18.33203125" style="92" bestFit="1" customWidth="1"/>
    <col min="4617" max="4617" width="26.44140625" style="92" customWidth="1"/>
    <col min="4618" max="4862" width="9.33203125" style="92"/>
    <col min="4863" max="4863" width="8.6640625" style="92" bestFit="1" customWidth="1"/>
    <col min="4864" max="4864" width="13.33203125" style="92" customWidth="1"/>
    <col min="4865" max="4865" width="16.33203125" style="92" bestFit="1" customWidth="1"/>
    <col min="4866" max="4866" width="23.5546875" style="92" customWidth="1"/>
    <col min="4867" max="4867" width="17.33203125" style="92" customWidth="1"/>
    <col min="4868" max="4868" width="20.5546875" style="92" bestFit="1" customWidth="1"/>
    <col min="4869" max="4869" width="17.33203125" style="92" customWidth="1"/>
    <col min="4870" max="4870" width="21.6640625" style="92" bestFit="1" customWidth="1"/>
    <col min="4871" max="4871" width="17.33203125" style="92" bestFit="1" customWidth="1"/>
    <col min="4872" max="4872" width="18.33203125" style="92" bestFit="1" customWidth="1"/>
    <col min="4873" max="4873" width="26.44140625" style="92" customWidth="1"/>
    <col min="4874" max="5118" width="9.33203125" style="92"/>
    <col min="5119" max="5119" width="8.6640625" style="92" bestFit="1" customWidth="1"/>
    <col min="5120" max="5120" width="13.33203125" style="92" customWidth="1"/>
    <col min="5121" max="5121" width="16.33203125" style="92" bestFit="1" customWidth="1"/>
    <col min="5122" max="5122" width="23.5546875" style="92" customWidth="1"/>
    <col min="5123" max="5123" width="17.33203125" style="92" customWidth="1"/>
    <col min="5124" max="5124" width="20.5546875" style="92" bestFit="1" customWidth="1"/>
    <col min="5125" max="5125" width="17.33203125" style="92" customWidth="1"/>
    <col min="5126" max="5126" width="21.6640625" style="92" bestFit="1" customWidth="1"/>
    <col min="5127" max="5127" width="17.33203125" style="92" bestFit="1" customWidth="1"/>
    <col min="5128" max="5128" width="18.33203125" style="92" bestFit="1" customWidth="1"/>
    <col min="5129" max="5129" width="26.44140625" style="92" customWidth="1"/>
    <col min="5130" max="5374" width="9.33203125" style="92"/>
    <col min="5375" max="5375" width="8.6640625" style="92" bestFit="1" customWidth="1"/>
    <col min="5376" max="5376" width="13.33203125" style="92" customWidth="1"/>
    <col min="5377" max="5377" width="16.33203125" style="92" bestFit="1" customWidth="1"/>
    <col min="5378" max="5378" width="23.5546875" style="92" customWidth="1"/>
    <col min="5379" max="5379" width="17.33203125" style="92" customWidth="1"/>
    <col min="5380" max="5380" width="20.5546875" style="92" bestFit="1" customWidth="1"/>
    <col min="5381" max="5381" width="17.33203125" style="92" customWidth="1"/>
    <col min="5382" max="5382" width="21.6640625" style="92" bestFit="1" customWidth="1"/>
    <col min="5383" max="5383" width="17.33203125" style="92" bestFit="1" customWidth="1"/>
    <col min="5384" max="5384" width="18.33203125" style="92" bestFit="1" customWidth="1"/>
    <col min="5385" max="5385" width="26.44140625" style="92" customWidth="1"/>
    <col min="5386" max="5630" width="9.33203125" style="92"/>
    <col min="5631" max="5631" width="8.6640625" style="92" bestFit="1" customWidth="1"/>
    <col min="5632" max="5632" width="13.33203125" style="92" customWidth="1"/>
    <col min="5633" max="5633" width="16.33203125" style="92" bestFit="1" customWidth="1"/>
    <col min="5634" max="5634" width="23.5546875" style="92" customWidth="1"/>
    <col min="5635" max="5635" width="17.33203125" style="92" customWidth="1"/>
    <col min="5636" max="5636" width="20.5546875" style="92" bestFit="1" customWidth="1"/>
    <col min="5637" max="5637" width="17.33203125" style="92" customWidth="1"/>
    <col min="5638" max="5638" width="21.6640625" style="92" bestFit="1" customWidth="1"/>
    <col min="5639" max="5639" width="17.33203125" style="92" bestFit="1" customWidth="1"/>
    <col min="5640" max="5640" width="18.33203125" style="92" bestFit="1" customWidth="1"/>
    <col min="5641" max="5641" width="26.44140625" style="92" customWidth="1"/>
    <col min="5642" max="5886" width="9.33203125" style="92"/>
    <col min="5887" max="5887" width="8.6640625" style="92" bestFit="1" customWidth="1"/>
    <col min="5888" max="5888" width="13.33203125" style="92" customWidth="1"/>
    <col min="5889" max="5889" width="16.33203125" style="92" bestFit="1" customWidth="1"/>
    <col min="5890" max="5890" width="23.5546875" style="92" customWidth="1"/>
    <col min="5891" max="5891" width="17.33203125" style="92" customWidth="1"/>
    <col min="5892" max="5892" width="20.5546875" style="92" bestFit="1" customWidth="1"/>
    <col min="5893" max="5893" width="17.33203125" style="92" customWidth="1"/>
    <col min="5894" max="5894" width="21.6640625" style="92" bestFit="1" customWidth="1"/>
    <col min="5895" max="5895" width="17.33203125" style="92" bestFit="1" customWidth="1"/>
    <col min="5896" max="5896" width="18.33203125" style="92" bestFit="1" customWidth="1"/>
    <col min="5897" max="5897" width="26.44140625" style="92" customWidth="1"/>
    <col min="5898" max="6142" width="9.33203125" style="92"/>
    <col min="6143" max="6143" width="8.6640625" style="92" bestFit="1" customWidth="1"/>
    <col min="6144" max="6144" width="13.33203125" style="92" customWidth="1"/>
    <col min="6145" max="6145" width="16.33203125" style="92" bestFit="1" customWidth="1"/>
    <col min="6146" max="6146" width="23.5546875" style="92" customWidth="1"/>
    <col min="6147" max="6147" width="17.33203125" style="92" customWidth="1"/>
    <col min="6148" max="6148" width="20.5546875" style="92" bestFit="1" customWidth="1"/>
    <col min="6149" max="6149" width="17.33203125" style="92" customWidth="1"/>
    <col min="6150" max="6150" width="21.6640625" style="92" bestFit="1" customWidth="1"/>
    <col min="6151" max="6151" width="17.33203125" style="92" bestFit="1" customWidth="1"/>
    <col min="6152" max="6152" width="18.33203125" style="92" bestFit="1" customWidth="1"/>
    <col min="6153" max="6153" width="26.44140625" style="92" customWidth="1"/>
    <col min="6154" max="6398" width="9.33203125" style="92"/>
    <col min="6399" max="6399" width="8.6640625" style="92" bestFit="1" customWidth="1"/>
    <col min="6400" max="6400" width="13.33203125" style="92" customWidth="1"/>
    <col min="6401" max="6401" width="16.33203125" style="92" bestFit="1" customWidth="1"/>
    <col min="6402" max="6402" width="23.5546875" style="92" customWidth="1"/>
    <col min="6403" max="6403" width="17.33203125" style="92" customWidth="1"/>
    <col min="6404" max="6404" width="20.5546875" style="92" bestFit="1" customWidth="1"/>
    <col min="6405" max="6405" width="17.33203125" style="92" customWidth="1"/>
    <col min="6406" max="6406" width="21.6640625" style="92" bestFit="1" customWidth="1"/>
    <col min="6407" max="6407" width="17.33203125" style="92" bestFit="1" customWidth="1"/>
    <col min="6408" max="6408" width="18.33203125" style="92" bestFit="1" customWidth="1"/>
    <col min="6409" max="6409" width="26.44140625" style="92" customWidth="1"/>
    <col min="6410" max="6654" width="9.33203125" style="92"/>
    <col min="6655" max="6655" width="8.6640625" style="92" bestFit="1" customWidth="1"/>
    <col min="6656" max="6656" width="13.33203125" style="92" customWidth="1"/>
    <col min="6657" max="6657" width="16.33203125" style="92" bestFit="1" customWidth="1"/>
    <col min="6658" max="6658" width="23.5546875" style="92" customWidth="1"/>
    <col min="6659" max="6659" width="17.33203125" style="92" customWidth="1"/>
    <col min="6660" max="6660" width="20.5546875" style="92" bestFit="1" customWidth="1"/>
    <col min="6661" max="6661" width="17.33203125" style="92" customWidth="1"/>
    <col min="6662" max="6662" width="21.6640625" style="92" bestFit="1" customWidth="1"/>
    <col min="6663" max="6663" width="17.33203125" style="92" bestFit="1" customWidth="1"/>
    <col min="6664" max="6664" width="18.33203125" style="92" bestFit="1" customWidth="1"/>
    <col min="6665" max="6665" width="26.44140625" style="92" customWidth="1"/>
    <col min="6666" max="6910" width="9.33203125" style="92"/>
    <col min="6911" max="6911" width="8.6640625" style="92" bestFit="1" customWidth="1"/>
    <col min="6912" max="6912" width="13.33203125" style="92" customWidth="1"/>
    <col min="6913" max="6913" width="16.33203125" style="92" bestFit="1" customWidth="1"/>
    <col min="6914" max="6914" width="23.5546875" style="92" customWidth="1"/>
    <col min="6915" max="6915" width="17.33203125" style="92" customWidth="1"/>
    <col min="6916" max="6916" width="20.5546875" style="92" bestFit="1" customWidth="1"/>
    <col min="6917" max="6917" width="17.33203125" style="92" customWidth="1"/>
    <col min="6918" max="6918" width="21.6640625" style="92" bestFit="1" customWidth="1"/>
    <col min="6919" max="6919" width="17.33203125" style="92" bestFit="1" customWidth="1"/>
    <col min="6920" max="6920" width="18.33203125" style="92" bestFit="1" customWidth="1"/>
    <col min="6921" max="6921" width="26.44140625" style="92" customWidth="1"/>
    <col min="6922" max="7166" width="9.33203125" style="92"/>
    <col min="7167" max="7167" width="8.6640625" style="92" bestFit="1" customWidth="1"/>
    <col min="7168" max="7168" width="13.33203125" style="92" customWidth="1"/>
    <col min="7169" max="7169" width="16.33203125" style="92" bestFit="1" customWidth="1"/>
    <col min="7170" max="7170" width="23.5546875" style="92" customWidth="1"/>
    <col min="7171" max="7171" width="17.33203125" style="92" customWidth="1"/>
    <col min="7172" max="7172" width="20.5546875" style="92" bestFit="1" customWidth="1"/>
    <col min="7173" max="7173" width="17.33203125" style="92" customWidth="1"/>
    <col min="7174" max="7174" width="21.6640625" style="92" bestFit="1" customWidth="1"/>
    <col min="7175" max="7175" width="17.33203125" style="92" bestFit="1" customWidth="1"/>
    <col min="7176" max="7176" width="18.33203125" style="92" bestFit="1" customWidth="1"/>
    <col min="7177" max="7177" width="26.44140625" style="92" customWidth="1"/>
    <col min="7178" max="7422" width="9.33203125" style="92"/>
    <col min="7423" max="7423" width="8.6640625" style="92" bestFit="1" customWidth="1"/>
    <col min="7424" max="7424" width="13.33203125" style="92" customWidth="1"/>
    <col min="7425" max="7425" width="16.33203125" style="92" bestFit="1" customWidth="1"/>
    <col min="7426" max="7426" width="23.5546875" style="92" customWidth="1"/>
    <col min="7427" max="7427" width="17.33203125" style="92" customWidth="1"/>
    <col min="7428" max="7428" width="20.5546875" style="92" bestFit="1" customWidth="1"/>
    <col min="7429" max="7429" width="17.33203125" style="92" customWidth="1"/>
    <col min="7430" max="7430" width="21.6640625" style="92" bestFit="1" customWidth="1"/>
    <col min="7431" max="7431" width="17.33203125" style="92" bestFit="1" customWidth="1"/>
    <col min="7432" max="7432" width="18.33203125" style="92" bestFit="1" customWidth="1"/>
    <col min="7433" max="7433" width="26.44140625" style="92" customWidth="1"/>
    <col min="7434" max="7678" width="9.33203125" style="92"/>
    <col min="7679" max="7679" width="8.6640625" style="92" bestFit="1" customWidth="1"/>
    <col min="7680" max="7680" width="13.33203125" style="92" customWidth="1"/>
    <col min="7681" max="7681" width="16.33203125" style="92" bestFit="1" customWidth="1"/>
    <col min="7682" max="7682" width="23.5546875" style="92" customWidth="1"/>
    <col min="7683" max="7683" width="17.33203125" style="92" customWidth="1"/>
    <col min="7684" max="7684" width="20.5546875" style="92" bestFit="1" customWidth="1"/>
    <col min="7685" max="7685" width="17.33203125" style="92" customWidth="1"/>
    <col min="7686" max="7686" width="21.6640625" style="92" bestFit="1" customWidth="1"/>
    <col min="7687" max="7687" width="17.33203125" style="92" bestFit="1" customWidth="1"/>
    <col min="7688" max="7688" width="18.33203125" style="92" bestFit="1" customWidth="1"/>
    <col min="7689" max="7689" width="26.44140625" style="92" customWidth="1"/>
    <col min="7690" max="7934" width="9.33203125" style="92"/>
    <col min="7935" max="7935" width="8.6640625" style="92" bestFit="1" customWidth="1"/>
    <col min="7936" max="7936" width="13.33203125" style="92" customWidth="1"/>
    <col min="7937" max="7937" width="16.33203125" style="92" bestFit="1" customWidth="1"/>
    <col min="7938" max="7938" width="23.5546875" style="92" customWidth="1"/>
    <col min="7939" max="7939" width="17.33203125" style="92" customWidth="1"/>
    <col min="7940" max="7940" width="20.5546875" style="92" bestFit="1" customWidth="1"/>
    <col min="7941" max="7941" width="17.33203125" style="92" customWidth="1"/>
    <col min="7942" max="7942" width="21.6640625" style="92" bestFit="1" customWidth="1"/>
    <col min="7943" max="7943" width="17.33203125" style="92" bestFit="1" customWidth="1"/>
    <col min="7944" max="7944" width="18.33203125" style="92" bestFit="1" customWidth="1"/>
    <col min="7945" max="7945" width="26.44140625" style="92" customWidth="1"/>
    <col min="7946" max="8190" width="9.33203125" style="92"/>
    <col min="8191" max="8191" width="8.6640625" style="92" bestFit="1" customWidth="1"/>
    <col min="8192" max="8192" width="13.33203125" style="92" customWidth="1"/>
    <col min="8193" max="8193" width="16.33203125" style="92" bestFit="1" customWidth="1"/>
    <col min="8194" max="8194" width="23.5546875" style="92" customWidth="1"/>
    <col min="8195" max="8195" width="17.33203125" style="92" customWidth="1"/>
    <col min="8196" max="8196" width="20.5546875" style="92" bestFit="1" customWidth="1"/>
    <col min="8197" max="8197" width="17.33203125" style="92" customWidth="1"/>
    <col min="8198" max="8198" width="21.6640625" style="92" bestFit="1" customWidth="1"/>
    <col min="8199" max="8199" width="17.33203125" style="92" bestFit="1" customWidth="1"/>
    <col min="8200" max="8200" width="18.33203125" style="92" bestFit="1" customWidth="1"/>
    <col min="8201" max="8201" width="26.44140625" style="92" customWidth="1"/>
    <col min="8202" max="8446" width="9.33203125" style="92"/>
    <col min="8447" max="8447" width="8.6640625" style="92" bestFit="1" customWidth="1"/>
    <col min="8448" max="8448" width="13.33203125" style="92" customWidth="1"/>
    <col min="8449" max="8449" width="16.33203125" style="92" bestFit="1" customWidth="1"/>
    <col min="8450" max="8450" width="23.5546875" style="92" customWidth="1"/>
    <col min="8451" max="8451" width="17.33203125" style="92" customWidth="1"/>
    <col min="8452" max="8452" width="20.5546875" style="92" bestFit="1" customWidth="1"/>
    <col min="8453" max="8453" width="17.33203125" style="92" customWidth="1"/>
    <col min="8454" max="8454" width="21.6640625" style="92" bestFit="1" customWidth="1"/>
    <col min="8455" max="8455" width="17.33203125" style="92" bestFit="1" customWidth="1"/>
    <col min="8456" max="8456" width="18.33203125" style="92" bestFit="1" customWidth="1"/>
    <col min="8457" max="8457" width="26.44140625" style="92" customWidth="1"/>
    <col min="8458" max="8702" width="9.33203125" style="92"/>
    <col min="8703" max="8703" width="8.6640625" style="92" bestFit="1" customWidth="1"/>
    <col min="8704" max="8704" width="13.33203125" style="92" customWidth="1"/>
    <col min="8705" max="8705" width="16.33203125" style="92" bestFit="1" customWidth="1"/>
    <col min="8706" max="8706" width="23.5546875" style="92" customWidth="1"/>
    <col min="8707" max="8707" width="17.33203125" style="92" customWidth="1"/>
    <col min="8708" max="8708" width="20.5546875" style="92" bestFit="1" customWidth="1"/>
    <col min="8709" max="8709" width="17.33203125" style="92" customWidth="1"/>
    <col min="8710" max="8710" width="21.6640625" style="92" bestFit="1" customWidth="1"/>
    <col min="8711" max="8711" width="17.33203125" style="92" bestFit="1" customWidth="1"/>
    <col min="8712" max="8712" width="18.33203125" style="92" bestFit="1" customWidth="1"/>
    <col min="8713" max="8713" width="26.44140625" style="92" customWidth="1"/>
    <col min="8714" max="8958" width="9.33203125" style="92"/>
    <col min="8959" max="8959" width="8.6640625" style="92" bestFit="1" customWidth="1"/>
    <col min="8960" max="8960" width="13.33203125" style="92" customWidth="1"/>
    <col min="8961" max="8961" width="16.33203125" style="92" bestFit="1" customWidth="1"/>
    <col min="8962" max="8962" width="23.5546875" style="92" customWidth="1"/>
    <col min="8963" max="8963" width="17.33203125" style="92" customWidth="1"/>
    <col min="8964" max="8964" width="20.5546875" style="92" bestFit="1" customWidth="1"/>
    <col min="8965" max="8965" width="17.33203125" style="92" customWidth="1"/>
    <col min="8966" max="8966" width="21.6640625" style="92" bestFit="1" customWidth="1"/>
    <col min="8967" max="8967" width="17.33203125" style="92" bestFit="1" customWidth="1"/>
    <col min="8968" max="8968" width="18.33203125" style="92" bestFit="1" customWidth="1"/>
    <col min="8969" max="8969" width="26.44140625" style="92" customWidth="1"/>
    <col min="8970" max="9214" width="9.33203125" style="92"/>
    <col min="9215" max="9215" width="8.6640625" style="92" bestFit="1" customWidth="1"/>
    <col min="9216" max="9216" width="13.33203125" style="92" customWidth="1"/>
    <col min="9217" max="9217" width="16.33203125" style="92" bestFit="1" customWidth="1"/>
    <col min="9218" max="9218" width="23.5546875" style="92" customWidth="1"/>
    <col min="9219" max="9219" width="17.33203125" style="92" customWidth="1"/>
    <col min="9220" max="9220" width="20.5546875" style="92" bestFit="1" customWidth="1"/>
    <col min="9221" max="9221" width="17.33203125" style="92" customWidth="1"/>
    <col min="9222" max="9222" width="21.6640625" style="92" bestFit="1" customWidth="1"/>
    <col min="9223" max="9223" width="17.33203125" style="92" bestFit="1" customWidth="1"/>
    <col min="9224" max="9224" width="18.33203125" style="92" bestFit="1" customWidth="1"/>
    <col min="9225" max="9225" width="26.44140625" style="92" customWidth="1"/>
    <col min="9226" max="9470" width="9.33203125" style="92"/>
    <col min="9471" max="9471" width="8.6640625" style="92" bestFit="1" customWidth="1"/>
    <col min="9472" max="9472" width="13.33203125" style="92" customWidth="1"/>
    <col min="9473" max="9473" width="16.33203125" style="92" bestFit="1" customWidth="1"/>
    <col min="9474" max="9474" width="23.5546875" style="92" customWidth="1"/>
    <col min="9475" max="9475" width="17.33203125" style="92" customWidth="1"/>
    <col min="9476" max="9476" width="20.5546875" style="92" bestFit="1" customWidth="1"/>
    <col min="9477" max="9477" width="17.33203125" style="92" customWidth="1"/>
    <col min="9478" max="9478" width="21.6640625" style="92" bestFit="1" customWidth="1"/>
    <col min="9479" max="9479" width="17.33203125" style="92" bestFit="1" customWidth="1"/>
    <col min="9480" max="9480" width="18.33203125" style="92" bestFit="1" customWidth="1"/>
    <col min="9481" max="9481" width="26.44140625" style="92" customWidth="1"/>
    <col min="9482" max="9726" width="9.33203125" style="92"/>
    <col min="9727" max="9727" width="8.6640625" style="92" bestFit="1" customWidth="1"/>
    <col min="9728" max="9728" width="13.33203125" style="92" customWidth="1"/>
    <col min="9729" max="9729" width="16.33203125" style="92" bestFit="1" customWidth="1"/>
    <col min="9730" max="9730" width="23.5546875" style="92" customWidth="1"/>
    <col min="9731" max="9731" width="17.33203125" style="92" customWidth="1"/>
    <col min="9732" max="9732" width="20.5546875" style="92" bestFit="1" customWidth="1"/>
    <col min="9733" max="9733" width="17.33203125" style="92" customWidth="1"/>
    <col min="9734" max="9734" width="21.6640625" style="92" bestFit="1" customWidth="1"/>
    <col min="9735" max="9735" width="17.33203125" style="92" bestFit="1" customWidth="1"/>
    <col min="9736" max="9736" width="18.33203125" style="92" bestFit="1" customWidth="1"/>
    <col min="9737" max="9737" width="26.44140625" style="92" customWidth="1"/>
    <col min="9738" max="9982" width="9.33203125" style="92"/>
    <col min="9983" max="9983" width="8.6640625" style="92" bestFit="1" customWidth="1"/>
    <col min="9984" max="9984" width="13.33203125" style="92" customWidth="1"/>
    <col min="9985" max="9985" width="16.33203125" style="92" bestFit="1" customWidth="1"/>
    <col min="9986" max="9986" width="23.5546875" style="92" customWidth="1"/>
    <col min="9987" max="9987" width="17.33203125" style="92" customWidth="1"/>
    <col min="9988" max="9988" width="20.5546875" style="92" bestFit="1" customWidth="1"/>
    <col min="9989" max="9989" width="17.33203125" style="92" customWidth="1"/>
    <col min="9990" max="9990" width="21.6640625" style="92" bestFit="1" customWidth="1"/>
    <col min="9991" max="9991" width="17.33203125" style="92" bestFit="1" customWidth="1"/>
    <col min="9992" max="9992" width="18.33203125" style="92" bestFit="1" customWidth="1"/>
    <col min="9993" max="9993" width="26.44140625" style="92" customWidth="1"/>
    <col min="9994" max="10238" width="9.33203125" style="92"/>
    <col min="10239" max="10239" width="8.6640625" style="92" bestFit="1" customWidth="1"/>
    <col min="10240" max="10240" width="13.33203125" style="92" customWidth="1"/>
    <col min="10241" max="10241" width="16.33203125" style="92" bestFit="1" customWidth="1"/>
    <col min="10242" max="10242" width="23.5546875" style="92" customWidth="1"/>
    <col min="10243" max="10243" width="17.33203125" style="92" customWidth="1"/>
    <col min="10244" max="10244" width="20.5546875" style="92" bestFit="1" customWidth="1"/>
    <col min="10245" max="10245" width="17.33203125" style="92" customWidth="1"/>
    <col min="10246" max="10246" width="21.6640625" style="92" bestFit="1" customWidth="1"/>
    <col min="10247" max="10247" width="17.33203125" style="92" bestFit="1" customWidth="1"/>
    <col min="10248" max="10248" width="18.33203125" style="92" bestFit="1" customWidth="1"/>
    <col min="10249" max="10249" width="26.44140625" style="92" customWidth="1"/>
    <col min="10250" max="10494" width="9.33203125" style="92"/>
    <col min="10495" max="10495" width="8.6640625" style="92" bestFit="1" customWidth="1"/>
    <col min="10496" max="10496" width="13.33203125" style="92" customWidth="1"/>
    <col min="10497" max="10497" width="16.33203125" style="92" bestFit="1" customWidth="1"/>
    <col min="10498" max="10498" width="23.5546875" style="92" customWidth="1"/>
    <col min="10499" max="10499" width="17.33203125" style="92" customWidth="1"/>
    <col min="10500" max="10500" width="20.5546875" style="92" bestFit="1" customWidth="1"/>
    <col min="10501" max="10501" width="17.33203125" style="92" customWidth="1"/>
    <col min="10502" max="10502" width="21.6640625" style="92" bestFit="1" customWidth="1"/>
    <col min="10503" max="10503" width="17.33203125" style="92" bestFit="1" customWidth="1"/>
    <col min="10504" max="10504" width="18.33203125" style="92" bestFit="1" customWidth="1"/>
    <col min="10505" max="10505" width="26.44140625" style="92" customWidth="1"/>
    <col min="10506" max="10750" width="9.33203125" style="92"/>
    <col min="10751" max="10751" width="8.6640625" style="92" bestFit="1" customWidth="1"/>
    <col min="10752" max="10752" width="13.33203125" style="92" customWidth="1"/>
    <col min="10753" max="10753" width="16.33203125" style="92" bestFit="1" customWidth="1"/>
    <col min="10754" max="10754" width="23.5546875" style="92" customWidth="1"/>
    <col min="10755" max="10755" width="17.33203125" style="92" customWidth="1"/>
    <col min="10756" max="10756" width="20.5546875" style="92" bestFit="1" customWidth="1"/>
    <col min="10757" max="10757" width="17.33203125" style="92" customWidth="1"/>
    <col min="10758" max="10758" width="21.6640625" style="92" bestFit="1" customWidth="1"/>
    <col min="10759" max="10759" width="17.33203125" style="92" bestFit="1" customWidth="1"/>
    <col min="10760" max="10760" width="18.33203125" style="92" bestFit="1" customWidth="1"/>
    <col min="10761" max="10761" width="26.44140625" style="92" customWidth="1"/>
    <col min="10762" max="11006" width="9.33203125" style="92"/>
    <col min="11007" max="11007" width="8.6640625" style="92" bestFit="1" customWidth="1"/>
    <col min="11008" max="11008" width="13.33203125" style="92" customWidth="1"/>
    <col min="11009" max="11009" width="16.33203125" style="92" bestFit="1" customWidth="1"/>
    <col min="11010" max="11010" width="23.5546875" style="92" customWidth="1"/>
    <col min="11011" max="11011" width="17.33203125" style="92" customWidth="1"/>
    <col min="11012" max="11012" width="20.5546875" style="92" bestFit="1" customWidth="1"/>
    <col min="11013" max="11013" width="17.33203125" style="92" customWidth="1"/>
    <col min="11014" max="11014" width="21.6640625" style="92" bestFit="1" customWidth="1"/>
    <col min="11015" max="11015" width="17.33203125" style="92" bestFit="1" customWidth="1"/>
    <col min="11016" max="11016" width="18.33203125" style="92" bestFit="1" customWidth="1"/>
    <col min="11017" max="11017" width="26.44140625" style="92" customWidth="1"/>
    <col min="11018" max="11262" width="9.33203125" style="92"/>
    <col min="11263" max="11263" width="8.6640625" style="92" bestFit="1" customWidth="1"/>
    <col min="11264" max="11264" width="13.33203125" style="92" customWidth="1"/>
    <col min="11265" max="11265" width="16.33203125" style="92" bestFit="1" customWidth="1"/>
    <col min="11266" max="11266" width="23.5546875" style="92" customWidth="1"/>
    <col min="11267" max="11267" width="17.33203125" style="92" customWidth="1"/>
    <col min="11268" max="11268" width="20.5546875" style="92" bestFit="1" customWidth="1"/>
    <col min="11269" max="11269" width="17.33203125" style="92" customWidth="1"/>
    <col min="11270" max="11270" width="21.6640625" style="92" bestFit="1" customWidth="1"/>
    <col min="11271" max="11271" width="17.33203125" style="92" bestFit="1" customWidth="1"/>
    <col min="11272" max="11272" width="18.33203125" style="92" bestFit="1" customWidth="1"/>
    <col min="11273" max="11273" width="26.44140625" style="92" customWidth="1"/>
    <col min="11274" max="11518" width="9.33203125" style="92"/>
    <col min="11519" max="11519" width="8.6640625" style="92" bestFit="1" customWidth="1"/>
    <col min="11520" max="11520" width="13.33203125" style="92" customWidth="1"/>
    <col min="11521" max="11521" width="16.33203125" style="92" bestFit="1" customWidth="1"/>
    <col min="11522" max="11522" width="23.5546875" style="92" customWidth="1"/>
    <col min="11523" max="11523" width="17.33203125" style="92" customWidth="1"/>
    <col min="11524" max="11524" width="20.5546875" style="92" bestFit="1" customWidth="1"/>
    <col min="11525" max="11525" width="17.33203125" style="92" customWidth="1"/>
    <col min="11526" max="11526" width="21.6640625" style="92" bestFit="1" customWidth="1"/>
    <col min="11527" max="11527" width="17.33203125" style="92" bestFit="1" customWidth="1"/>
    <col min="11528" max="11528" width="18.33203125" style="92" bestFit="1" customWidth="1"/>
    <col min="11529" max="11529" width="26.44140625" style="92" customWidth="1"/>
    <col min="11530" max="11774" width="9.33203125" style="92"/>
    <col min="11775" max="11775" width="8.6640625" style="92" bestFit="1" customWidth="1"/>
    <col min="11776" max="11776" width="13.33203125" style="92" customWidth="1"/>
    <col min="11777" max="11777" width="16.33203125" style="92" bestFit="1" customWidth="1"/>
    <col min="11778" max="11778" width="23.5546875" style="92" customWidth="1"/>
    <col min="11779" max="11779" width="17.33203125" style="92" customWidth="1"/>
    <col min="11780" max="11780" width="20.5546875" style="92" bestFit="1" customWidth="1"/>
    <col min="11781" max="11781" width="17.33203125" style="92" customWidth="1"/>
    <col min="11782" max="11782" width="21.6640625" style="92" bestFit="1" customWidth="1"/>
    <col min="11783" max="11783" width="17.33203125" style="92" bestFit="1" customWidth="1"/>
    <col min="11784" max="11784" width="18.33203125" style="92" bestFit="1" customWidth="1"/>
    <col min="11785" max="11785" width="26.44140625" style="92" customWidth="1"/>
    <col min="11786" max="12030" width="9.33203125" style="92"/>
    <col min="12031" max="12031" width="8.6640625" style="92" bestFit="1" customWidth="1"/>
    <col min="12032" max="12032" width="13.33203125" style="92" customWidth="1"/>
    <col min="12033" max="12033" width="16.33203125" style="92" bestFit="1" customWidth="1"/>
    <col min="12034" max="12034" width="23.5546875" style="92" customWidth="1"/>
    <col min="12035" max="12035" width="17.33203125" style="92" customWidth="1"/>
    <col min="12036" max="12036" width="20.5546875" style="92" bestFit="1" customWidth="1"/>
    <col min="12037" max="12037" width="17.33203125" style="92" customWidth="1"/>
    <col min="12038" max="12038" width="21.6640625" style="92" bestFit="1" customWidth="1"/>
    <col min="12039" max="12039" width="17.33203125" style="92" bestFit="1" customWidth="1"/>
    <col min="12040" max="12040" width="18.33203125" style="92" bestFit="1" customWidth="1"/>
    <col min="12041" max="12041" width="26.44140625" style="92" customWidth="1"/>
    <col min="12042" max="12286" width="9.33203125" style="92"/>
    <col min="12287" max="12287" width="8.6640625" style="92" bestFit="1" customWidth="1"/>
    <col min="12288" max="12288" width="13.33203125" style="92" customWidth="1"/>
    <col min="12289" max="12289" width="16.33203125" style="92" bestFit="1" customWidth="1"/>
    <col min="12290" max="12290" width="23.5546875" style="92" customWidth="1"/>
    <col min="12291" max="12291" width="17.33203125" style="92" customWidth="1"/>
    <col min="12292" max="12292" width="20.5546875" style="92" bestFit="1" customWidth="1"/>
    <col min="12293" max="12293" width="17.33203125" style="92" customWidth="1"/>
    <col min="12294" max="12294" width="21.6640625" style="92" bestFit="1" customWidth="1"/>
    <col min="12295" max="12295" width="17.33203125" style="92" bestFit="1" customWidth="1"/>
    <col min="12296" max="12296" width="18.33203125" style="92" bestFit="1" customWidth="1"/>
    <col min="12297" max="12297" width="26.44140625" style="92" customWidth="1"/>
    <col min="12298" max="12542" width="9.33203125" style="92"/>
    <col min="12543" max="12543" width="8.6640625" style="92" bestFit="1" customWidth="1"/>
    <col min="12544" max="12544" width="13.33203125" style="92" customWidth="1"/>
    <col min="12545" max="12545" width="16.33203125" style="92" bestFit="1" customWidth="1"/>
    <col min="12546" max="12546" width="23.5546875" style="92" customWidth="1"/>
    <col min="12547" max="12547" width="17.33203125" style="92" customWidth="1"/>
    <col min="12548" max="12548" width="20.5546875" style="92" bestFit="1" customWidth="1"/>
    <col min="12549" max="12549" width="17.33203125" style="92" customWidth="1"/>
    <col min="12550" max="12550" width="21.6640625" style="92" bestFit="1" customWidth="1"/>
    <col min="12551" max="12551" width="17.33203125" style="92" bestFit="1" customWidth="1"/>
    <col min="12552" max="12552" width="18.33203125" style="92" bestFit="1" customWidth="1"/>
    <col min="12553" max="12553" width="26.44140625" style="92" customWidth="1"/>
    <col min="12554" max="12798" width="9.33203125" style="92"/>
    <col min="12799" max="12799" width="8.6640625" style="92" bestFit="1" customWidth="1"/>
    <col min="12800" max="12800" width="13.33203125" style="92" customWidth="1"/>
    <col min="12801" max="12801" width="16.33203125" style="92" bestFit="1" customWidth="1"/>
    <col min="12802" max="12802" width="23.5546875" style="92" customWidth="1"/>
    <col min="12803" max="12803" width="17.33203125" style="92" customWidth="1"/>
    <col min="12804" max="12804" width="20.5546875" style="92" bestFit="1" customWidth="1"/>
    <col min="12805" max="12805" width="17.33203125" style="92" customWidth="1"/>
    <col min="12806" max="12806" width="21.6640625" style="92" bestFit="1" customWidth="1"/>
    <col min="12807" max="12807" width="17.33203125" style="92" bestFit="1" customWidth="1"/>
    <col min="12808" max="12808" width="18.33203125" style="92" bestFit="1" customWidth="1"/>
    <col min="12809" max="12809" width="26.44140625" style="92" customWidth="1"/>
    <col min="12810" max="13054" width="9.33203125" style="92"/>
    <col min="13055" max="13055" width="8.6640625" style="92" bestFit="1" customWidth="1"/>
    <col min="13056" max="13056" width="13.33203125" style="92" customWidth="1"/>
    <col min="13057" max="13057" width="16.33203125" style="92" bestFit="1" customWidth="1"/>
    <col min="13058" max="13058" width="23.5546875" style="92" customWidth="1"/>
    <col min="13059" max="13059" width="17.33203125" style="92" customWidth="1"/>
    <col min="13060" max="13060" width="20.5546875" style="92" bestFit="1" customWidth="1"/>
    <col min="13061" max="13061" width="17.33203125" style="92" customWidth="1"/>
    <col min="13062" max="13062" width="21.6640625" style="92" bestFit="1" customWidth="1"/>
    <col min="13063" max="13063" width="17.33203125" style="92" bestFit="1" customWidth="1"/>
    <col min="13064" max="13064" width="18.33203125" style="92" bestFit="1" customWidth="1"/>
    <col min="13065" max="13065" width="26.44140625" style="92" customWidth="1"/>
    <col min="13066" max="13310" width="9.33203125" style="92"/>
    <col min="13311" max="13311" width="8.6640625" style="92" bestFit="1" customWidth="1"/>
    <col min="13312" max="13312" width="13.33203125" style="92" customWidth="1"/>
    <col min="13313" max="13313" width="16.33203125" style="92" bestFit="1" customWidth="1"/>
    <col min="13314" max="13314" width="23.5546875" style="92" customWidth="1"/>
    <col min="13315" max="13315" width="17.33203125" style="92" customWidth="1"/>
    <col min="13316" max="13316" width="20.5546875" style="92" bestFit="1" customWidth="1"/>
    <col min="13317" max="13317" width="17.33203125" style="92" customWidth="1"/>
    <col min="13318" max="13318" width="21.6640625" style="92" bestFit="1" customWidth="1"/>
    <col min="13319" max="13319" width="17.33203125" style="92" bestFit="1" customWidth="1"/>
    <col min="13320" max="13320" width="18.33203125" style="92" bestFit="1" customWidth="1"/>
    <col min="13321" max="13321" width="26.44140625" style="92" customWidth="1"/>
    <col min="13322" max="13566" width="9.33203125" style="92"/>
    <col min="13567" max="13567" width="8.6640625" style="92" bestFit="1" customWidth="1"/>
    <col min="13568" max="13568" width="13.33203125" style="92" customWidth="1"/>
    <col min="13569" max="13569" width="16.33203125" style="92" bestFit="1" customWidth="1"/>
    <col min="13570" max="13570" width="23.5546875" style="92" customWidth="1"/>
    <col min="13571" max="13571" width="17.33203125" style="92" customWidth="1"/>
    <col min="13572" max="13572" width="20.5546875" style="92" bestFit="1" customWidth="1"/>
    <col min="13573" max="13573" width="17.33203125" style="92" customWidth="1"/>
    <col min="13574" max="13574" width="21.6640625" style="92" bestFit="1" customWidth="1"/>
    <col min="13575" max="13575" width="17.33203125" style="92" bestFit="1" customWidth="1"/>
    <col min="13576" max="13576" width="18.33203125" style="92" bestFit="1" customWidth="1"/>
    <col min="13577" max="13577" width="26.44140625" style="92" customWidth="1"/>
    <col min="13578" max="13822" width="9.33203125" style="92"/>
    <col min="13823" max="13823" width="8.6640625" style="92" bestFit="1" customWidth="1"/>
    <col min="13824" max="13824" width="13.33203125" style="92" customWidth="1"/>
    <col min="13825" max="13825" width="16.33203125" style="92" bestFit="1" customWidth="1"/>
    <col min="13826" max="13826" width="23.5546875" style="92" customWidth="1"/>
    <col min="13827" max="13827" width="17.33203125" style="92" customWidth="1"/>
    <col min="13828" max="13828" width="20.5546875" style="92" bestFit="1" customWidth="1"/>
    <col min="13829" max="13829" width="17.33203125" style="92" customWidth="1"/>
    <col min="13830" max="13830" width="21.6640625" style="92" bestFit="1" customWidth="1"/>
    <col min="13831" max="13831" width="17.33203125" style="92" bestFit="1" customWidth="1"/>
    <col min="13832" max="13832" width="18.33203125" style="92" bestFit="1" customWidth="1"/>
    <col min="13833" max="13833" width="26.44140625" style="92" customWidth="1"/>
    <col min="13834" max="14078" width="9.33203125" style="92"/>
    <col min="14079" max="14079" width="8.6640625" style="92" bestFit="1" customWidth="1"/>
    <col min="14080" max="14080" width="13.33203125" style="92" customWidth="1"/>
    <col min="14081" max="14081" width="16.33203125" style="92" bestFit="1" customWidth="1"/>
    <col min="14082" max="14082" width="23.5546875" style="92" customWidth="1"/>
    <col min="14083" max="14083" width="17.33203125" style="92" customWidth="1"/>
    <col min="14084" max="14084" width="20.5546875" style="92" bestFit="1" customWidth="1"/>
    <col min="14085" max="14085" width="17.33203125" style="92" customWidth="1"/>
    <col min="14086" max="14086" width="21.6640625" style="92" bestFit="1" customWidth="1"/>
    <col min="14087" max="14087" width="17.33203125" style="92" bestFit="1" customWidth="1"/>
    <col min="14088" max="14088" width="18.33203125" style="92" bestFit="1" customWidth="1"/>
    <col min="14089" max="14089" width="26.44140625" style="92" customWidth="1"/>
    <col min="14090" max="14334" width="9.33203125" style="92"/>
    <col min="14335" max="14335" width="8.6640625" style="92" bestFit="1" customWidth="1"/>
    <col min="14336" max="14336" width="13.33203125" style="92" customWidth="1"/>
    <col min="14337" max="14337" width="16.33203125" style="92" bestFit="1" customWidth="1"/>
    <col min="14338" max="14338" width="23.5546875" style="92" customWidth="1"/>
    <col min="14339" max="14339" width="17.33203125" style="92" customWidth="1"/>
    <col min="14340" max="14340" width="20.5546875" style="92" bestFit="1" customWidth="1"/>
    <col min="14341" max="14341" width="17.33203125" style="92" customWidth="1"/>
    <col min="14342" max="14342" width="21.6640625" style="92" bestFit="1" customWidth="1"/>
    <col min="14343" max="14343" width="17.33203125" style="92" bestFit="1" customWidth="1"/>
    <col min="14344" max="14344" width="18.33203125" style="92" bestFit="1" customWidth="1"/>
    <col min="14345" max="14345" width="26.44140625" style="92" customWidth="1"/>
    <col min="14346" max="14590" width="9.33203125" style="92"/>
    <col min="14591" max="14591" width="8.6640625" style="92" bestFit="1" customWidth="1"/>
    <col min="14592" max="14592" width="13.33203125" style="92" customWidth="1"/>
    <col min="14593" max="14593" width="16.33203125" style="92" bestFit="1" customWidth="1"/>
    <col min="14594" max="14594" width="23.5546875" style="92" customWidth="1"/>
    <col min="14595" max="14595" width="17.33203125" style="92" customWidth="1"/>
    <col min="14596" max="14596" width="20.5546875" style="92" bestFit="1" customWidth="1"/>
    <col min="14597" max="14597" width="17.33203125" style="92" customWidth="1"/>
    <col min="14598" max="14598" width="21.6640625" style="92" bestFit="1" customWidth="1"/>
    <col min="14599" max="14599" width="17.33203125" style="92" bestFit="1" customWidth="1"/>
    <col min="14600" max="14600" width="18.33203125" style="92" bestFit="1" customWidth="1"/>
    <col min="14601" max="14601" width="26.44140625" style="92" customWidth="1"/>
    <col min="14602" max="14846" width="9.33203125" style="92"/>
    <col min="14847" max="14847" width="8.6640625" style="92" bestFit="1" customWidth="1"/>
    <col min="14848" max="14848" width="13.33203125" style="92" customWidth="1"/>
    <col min="14849" max="14849" width="16.33203125" style="92" bestFit="1" customWidth="1"/>
    <col min="14850" max="14850" width="23.5546875" style="92" customWidth="1"/>
    <col min="14851" max="14851" width="17.33203125" style="92" customWidth="1"/>
    <col min="14852" max="14852" width="20.5546875" style="92" bestFit="1" customWidth="1"/>
    <col min="14853" max="14853" width="17.33203125" style="92" customWidth="1"/>
    <col min="14854" max="14854" width="21.6640625" style="92" bestFit="1" customWidth="1"/>
    <col min="14855" max="14855" width="17.33203125" style="92" bestFit="1" customWidth="1"/>
    <col min="14856" max="14856" width="18.33203125" style="92" bestFit="1" customWidth="1"/>
    <col min="14857" max="14857" width="26.44140625" style="92" customWidth="1"/>
    <col min="14858" max="15102" width="9.33203125" style="92"/>
    <col min="15103" max="15103" width="8.6640625" style="92" bestFit="1" customWidth="1"/>
    <col min="15104" max="15104" width="13.33203125" style="92" customWidth="1"/>
    <col min="15105" max="15105" width="16.33203125" style="92" bestFit="1" customWidth="1"/>
    <col min="15106" max="15106" width="23.5546875" style="92" customWidth="1"/>
    <col min="15107" max="15107" width="17.33203125" style="92" customWidth="1"/>
    <col min="15108" max="15108" width="20.5546875" style="92" bestFit="1" customWidth="1"/>
    <col min="15109" max="15109" width="17.33203125" style="92" customWidth="1"/>
    <col min="15110" max="15110" width="21.6640625" style="92" bestFit="1" customWidth="1"/>
    <col min="15111" max="15111" width="17.33203125" style="92" bestFit="1" customWidth="1"/>
    <col min="15112" max="15112" width="18.33203125" style="92" bestFit="1" customWidth="1"/>
    <col min="15113" max="15113" width="26.44140625" style="92" customWidth="1"/>
    <col min="15114" max="15358" width="9.33203125" style="92"/>
    <col min="15359" max="15359" width="8.6640625" style="92" bestFit="1" customWidth="1"/>
    <col min="15360" max="15360" width="13.33203125" style="92" customWidth="1"/>
    <col min="15361" max="15361" width="16.33203125" style="92" bestFit="1" customWidth="1"/>
    <col min="15362" max="15362" width="23.5546875" style="92" customWidth="1"/>
    <col min="15363" max="15363" width="17.33203125" style="92" customWidth="1"/>
    <col min="15364" max="15364" width="20.5546875" style="92" bestFit="1" customWidth="1"/>
    <col min="15365" max="15365" width="17.33203125" style="92" customWidth="1"/>
    <col min="15366" max="15366" width="21.6640625" style="92" bestFit="1" customWidth="1"/>
    <col min="15367" max="15367" width="17.33203125" style="92" bestFit="1" customWidth="1"/>
    <col min="15368" max="15368" width="18.33203125" style="92" bestFit="1" customWidth="1"/>
    <col min="15369" max="15369" width="26.44140625" style="92" customWidth="1"/>
    <col min="15370" max="15614" width="9.33203125" style="92"/>
    <col min="15615" max="15615" width="8.6640625" style="92" bestFit="1" customWidth="1"/>
    <col min="15616" max="15616" width="13.33203125" style="92" customWidth="1"/>
    <col min="15617" max="15617" width="16.33203125" style="92" bestFit="1" customWidth="1"/>
    <col min="15618" max="15618" width="23.5546875" style="92" customWidth="1"/>
    <col min="15619" max="15619" width="17.33203125" style="92" customWidth="1"/>
    <col min="15620" max="15620" width="20.5546875" style="92" bestFit="1" customWidth="1"/>
    <col min="15621" max="15621" width="17.33203125" style="92" customWidth="1"/>
    <col min="15622" max="15622" width="21.6640625" style="92" bestFit="1" customWidth="1"/>
    <col min="15623" max="15623" width="17.33203125" style="92" bestFit="1" customWidth="1"/>
    <col min="15624" max="15624" width="18.33203125" style="92" bestFit="1" customWidth="1"/>
    <col min="15625" max="15625" width="26.44140625" style="92" customWidth="1"/>
    <col min="15626" max="15870" width="9.33203125" style="92"/>
    <col min="15871" max="15871" width="8.6640625" style="92" bestFit="1" customWidth="1"/>
    <col min="15872" max="15872" width="13.33203125" style="92" customWidth="1"/>
    <col min="15873" max="15873" width="16.33203125" style="92" bestFit="1" customWidth="1"/>
    <col min="15874" max="15874" width="23.5546875" style="92" customWidth="1"/>
    <col min="15875" max="15875" width="17.33203125" style="92" customWidth="1"/>
    <col min="15876" max="15876" width="20.5546875" style="92" bestFit="1" customWidth="1"/>
    <col min="15877" max="15877" width="17.33203125" style="92" customWidth="1"/>
    <col min="15878" max="15878" width="21.6640625" style="92" bestFit="1" customWidth="1"/>
    <col min="15879" max="15879" width="17.33203125" style="92" bestFit="1" customWidth="1"/>
    <col min="15880" max="15880" width="18.33203125" style="92" bestFit="1" customWidth="1"/>
    <col min="15881" max="15881" width="26.44140625" style="92" customWidth="1"/>
    <col min="15882" max="16126" width="9.33203125" style="92"/>
    <col min="16127" max="16127" width="8.6640625" style="92" bestFit="1" customWidth="1"/>
    <col min="16128" max="16128" width="13.33203125" style="92" customWidth="1"/>
    <col min="16129" max="16129" width="16.33203125" style="92" bestFit="1" customWidth="1"/>
    <col min="16130" max="16130" width="23.5546875" style="92" customWidth="1"/>
    <col min="16131" max="16131" width="17.33203125" style="92" customWidth="1"/>
    <col min="16132" max="16132" width="20.5546875" style="92" bestFit="1" customWidth="1"/>
    <col min="16133" max="16133" width="17.33203125" style="92" customWidth="1"/>
    <col min="16134" max="16134" width="21.6640625" style="92" bestFit="1" customWidth="1"/>
    <col min="16135" max="16135" width="17.33203125" style="92" bestFit="1" customWidth="1"/>
    <col min="16136" max="16136" width="18.33203125" style="92" bestFit="1" customWidth="1"/>
    <col min="16137" max="16137" width="26.44140625" style="92" customWidth="1"/>
    <col min="16138" max="16384" width="9.33203125" style="92"/>
  </cols>
  <sheetData>
    <row r="1" spans="11:12" s="110" customFormat="1" x14ac:dyDescent="0.25">
      <c r="K1" s="409"/>
      <c r="L1" s="408"/>
    </row>
    <row r="2" spans="11:12" s="110" customFormat="1" x14ac:dyDescent="0.25">
      <c r="K2" s="409"/>
      <c r="L2" s="408"/>
    </row>
    <row r="3" spans="11:12" s="110" customFormat="1" x14ac:dyDescent="0.25">
      <c r="K3" s="409"/>
      <c r="L3" s="408"/>
    </row>
    <row r="4" spans="11:12" s="110" customFormat="1" x14ac:dyDescent="0.25">
      <c r="K4" s="409"/>
      <c r="L4" s="408"/>
    </row>
    <row r="5" spans="11:12" s="110" customFormat="1" x14ac:dyDescent="0.25">
      <c r="K5" s="409"/>
      <c r="L5" s="408"/>
    </row>
    <row r="6" spans="11:12" s="110" customFormat="1" x14ac:dyDescent="0.25">
      <c r="K6" s="409"/>
      <c r="L6" s="408"/>
    </row>
    <row r="7" spans="11:12" s="110" customFormat="1" x14ac:dyDescent="0.25">
      <c r="K7" s="409"/>
      <c r="L7" s="408"/>
    </row>
    <row r="8" spans="11:12" s="110" customFormat="1" x14ac:dyDescent="0.25">
      <c r="K8" s="409"/>
      <c r="L8" s="408"/>
    </row>
    <row r="9" spans="11:12" s="110" customFormat="1" x14ac:dyDescent="0.25">
      <c r="K9" s="409"/>
      <c r="L9" s="408"/>
    </row>
    <row r="10" spans="11:12" s="110" customFormat="1" x14ac:dyDescent="0.25">
      <c r="K10" s="409"/>
      <c r="L10" s="408"/>
    </row>
    <row r="11" spans="11:12" s="110" customFormat="1" x14ac:dyDescent="0.25">
      <c r="K11" s="409"/>
      <c r="L11" s="408"/>
    </row>
    <row r="12" spans="11:12" s="110" customFormat="1" x14ac:dyDescent="0.25">
      <c r="K12" s="409"/>
      <c r="L12" s="408"/>
    </row>
    <row r="13" spans="11:12" s="110" customFormat="1" x14ac:dyDescent="0.25">
      <c r="K13" s="409"/>
      <c r="L13" s="408"/>
    </row>
    <row r="14" spans="11:12" s="110" customFormat="1" x14ac:dyDescent="0.25">
      <c r="K14" s="409"/>
      <c r="L14" s="408"/>
    </row>
    <row r="15" spans="11:12" s="110" customFormat="1" x14ac:dyDescent="0.25">
      <c r="K15" s="409"/>
      <c r="L15" s="408"/>
    </row>
    <row r="16" spans="11:12" s="110" customFormat="1" x14ac:dyDescent="0.25">
      <c r="K16" s="409"/>
      <c r="L16" s="408"/>
    </row>
    <row r="17" spans="1:21" s="110" customFormat="1" x14ac:dyDescent="0.25">
      <c r="K17" s="409"/>
      <c r="L17" s="408"/>
    </row>
    <row r="18" spans="1:21" s="110" customFormat="1" x14ac:dyDescent="0.25">
      <c r="K18" s="409"/>
      <c r="L18" s="408"/>
    </row>
    <row r="19" spans="1:21" s="110" customFormat="1" x14ac:dyDescent="0.25">
      <c r="K19" s="409"/>
      <c r="L19" s="408"/>
    </row>
    <row r="20" spans="1:21" s="110" customFormat="1" x14ac:dyDescent="0.25">
      <c r="K20" s="409"/>
      <c r="L20" s="408"/>
    </row>
    <row r="21" spans="1:21" s="110" customFormat="1" x14ac:dyDescent="0.25">
      <c r="K21" s="409"/>
      <c r="L21" s="408"/>
    </row>
    <row r="22" spans="1:21" s="110" customFormat="1" x14ac:dyDescent="0.25">
      <c r="K22" s="409"/>
      <c r="L22" s="408"/>
    </row>
    <row r="23" spans="1:21" s="110" customFormat="1" x14ac:dyDescent="0.25">
      <c r="K23" s="409"/>
      <c r="L23" s="408"/>
    </row>
    <row r="24" spans="1:21" s="110" customFormat="1" x14ac:dyDescent="0.25">
      <c r="K24" s="409"/>
      <c r="L24" s="408"/>
    </row>
    <row r="25" spans="1:21" s="110" customFormat="1" x14ac:dyDescent="0.25">
      <c r="K25" s="409"/>
      <c r="L25" s="408"/>
      <c r="O25" s="636"/>
      <c r="P25" s="636"/>
      <c r="Q25" s="636"/>
      <c r="R25" s="636"/>
      <c r="S25" s="636"/>
      <c r="T25" s="636"/>
      <c r="U25" s="636"/>
    </row>
    <row r="26" spans="1:21" s="110" customFormat="1" x14ac:dyDescent="0.25">
      <c r="K26" s="409"/>
      <c r="L26" s="408"/>
      <c r="O26" s="636"/>
      <c r="P26" s="636"/>
      <c r="Q26" s="636"/>
      <c r="R26" s="636"/>
      <c r="S26" s="636"/>
      <c r="T26" s="636"/>
      <c r="U26" s="636"/>
    </row>
    <row r="27" spans="1:21" s="110" customFormat="1" x14ac:dyDescent="0.25">
      <c r="K27" s="409"/>
      <c r="L27" s="408"/>
      <c r="O27" s="636"/>
      <c r="P27" s="636"/>
      <c r="Q27" s="636"/>
      <c r="R27" s="636"/>
      <c r="S27" s="636"/>
      <c r="T27" s="636"/>
      <c r="U27" s="636"/>
    </row>
    <row r="28" spans="1:21" s="110" customFormat="1" ht="24.75" customHeight="1" x14ac:dyDescent="0.3">
      <c r="A28" s="431" t="str">
        <f>CHOOSE(MODE, 'Variable Mgmt'!K7,'Variable Mgmt'!K8)</f>
        <v>SINGLE Output PSR Flyback Converter, VIN = 15 V, VOUT = 15 V, IOUT = 0.1 A</v>
      </c>
      <c r="K28" s="408"/>
      <c r="L28" s="408"/>
      <c r="O28" s="636"/>
      <c r="P28" s="636"/>
      <c r="Q28" s="636"/>
      <c r="R28" s="636"/>
      <c r="S28" s="636"/>
      <c r="T28" s="636"/>
      <c r="U28" s="636"/>
    </row>
    <row r="29" spans="1:21" ht="24.75" customHeight="1" thickBot="1" x14ac:dyDescent="0.3">
      <c r="A29" s="93" t="str">
        <f>CHOOSE(VARIANT,"LM5180 High Efficiency PSR Flyback Converter BOM","LM5181 High Efficiency PSR Flyback Converter BOM","LM25180 High Efficiency PSR Flyback Converter BOM","LM25183 High Efficiency PSR Flyback Converter BOM","LM25184 High Efficiency PSR Flyback Converter BOM")</f>
        <v>LM5181 High Efficiency PSR Flyback Converter BOM</v>
      </c>
      <c r="O29" s="637"/>
      <c r="P29" s="637"/>
      <c r="Q29" s="637"/>
      <c r="R29" s="637"/>
      <c r="S29" s="637"/>
      <c r="T29" s="637"/>
      <c r="U29" s="637"/>
    </row>
    <row r="30" spans="1:21" ht="18" customHeight="1" x14ac:dyDescent="0.25">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5">
      <c r="A31" s="94">
        <f>ROUNDUP('LM(2)518x PSR flyback converter'!E18/10,0)</f>
        <v>1</v>
      </c>
      <c r="B31" s="106" t="s">
        <v>120</v>
      </c>
      <c r="C31" s="109">
        <f>Cin</f>
        <v>10</v>
      </c>
      <c r="D31" s="680" t="str">
        <f>IF(VIN_max&gt;35, "Capacitor, Ceramic, "&amp;'Variable Mgmt'!B226&amp;", 100V, X7R, 10%", "Capacitor, Ceramic, "&amp;'Variable Mgmt'!B226&amp;", 50V, X7R, 10%")</f>
        <v>Capacitor, Ceramic, 10µF,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5">
      <c r="A32" s="94">
        <v>1</v>
      </c>
      <c r="B32" s="106" t="s">
        <v>121</v>
      </c>
      <c r="C32" s="109">
        <f>Cout</f>
        <v>10</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10µF,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5">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5">
      <c r="A34" s="96" t="str">
        <f>CHOOSE(MODE_SS, "1", "-", "1")</f>
        <v>1</v>
      </c>
      <c r="B34" s="97" t="str">
        <f>CHOOSE(MODE_SS, "Css", "-")</f>
        <v>Css</v>
      </c>
      <c r="C34" s="543" t="str">
        <f>CHOOSE(MODE_SS, 'Standard Value Calculator'!B4*1000000000&amp;"nF", "-", "100k")</f>
        <v>100nF</v>
      </c>
      <c r="D34" s="698" t="str">
        <f>CHOOSE(MODE_SS, "Capacitor, Ceramic, "&amp;'Standard Value Calculator'!B4*1000000000&amp;"nF"&amp;", 16V, X7R, 10%", "-")</f>
        <v>Capacitor, Ceramic, 100nF, 16V, X7R, 10%</v>
      </c>
      <c r="E34" s="699"/>
      <c r="F34" s="699"/>
      <c r="G34" s="99" t="s">
        <v>119</v>
      </c>
      <c r="H34" s="100" t="str">
        <f>CHOOSE(MODE_SS, "Std", "-")</f>
        <v>Std</v>
      </c>
      <c r="I34" s="414" t="str">
        <f>CHOOSE(MODE_SS, "Std", "-")</f>
        <v>Std</v>
      </c>
      <c r="J34" s="422" t="str">
        <f>CHOOSE(MODE_SS,CHOOSE(Q34,'Variable Mgmt'!T64,'Variable Mgmt'!T65,'Variable Mgmt'!T66),"-",CHOOSE(Q34,'Variable Mgmt'!T64,'Variable Mgmt'!T65,'Variable Mgmt'!T66))</f>
        <v>1.0 x 0.5</v>
      </c>
      <c r="K34" s="420">
        <f>CHOOSE(MODE_SS, CHOOSE(Q34,'Variable Mgmt'!U64,'Variable Mgmt'!U65,'Variable Mgmt'!U66), "-", CHOOSE(Q34,'Variable Mgmt'!U64,'Variable Mgmt'!U65,'Variable Mgmt'!U66))</f>
        <v>0.5</v>
      </c>
      <c r="L34" s="425"/>
      <c r="O34" s="639"/>
      <c r="P34" s="641"/>
      <c r="Q34" s="643">
        <v>1</v>
      </c>
      <c r="R34" s="639"/>
      <c r="S34" s="639"/>
      <c r="T34" s="639"/>
      <c r="U34" s="639"/>
    </row>
    <row r="35" spans="1:21" s="95" customFormat="1" ht="17.100000000000001" customHeight="1" x14ac:dyDescent="0.25">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5">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5">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5">
      <c r="A38" s="101">
        <v>1</v>
      </c>
      <c r="B38" s="102" t="s">
        <v>636</v>
      </c>
      <c r="C38" s="103" t="str">
        <f>Vout*Nps*1.3&amp;"V"</f>
        <v>19.5V</v>
      </c>
      <c r="D38" s="687" t="str">
        <f>"Clamp Circuit Diode, Zener, "&amp;ROUND(Vout*Nps*13,0)/10&amp;"V"</f>
        <v>Clamp Circuit Diode, Zener, 19.5V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5">
      <c r="A39" s="101">
        <v>1</v>
      </c>
      <c r="B39" s="102" t="s">
        <v>648</v>
      </c>
      <c r="C39" s="103" t="str">
        <f>Vout*1.1&amp;"V"</f>
        <v>16.5V</v>
      </c>
      <c r="D39" s="541" t="str">
        <f>"Output Clamp Diode, Zener, "&amp;(ROUND(Vout*11.25,0)/10)&amp;"V"</f>
        <v>Output Clamp Diode, Zener, 16.9V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5">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5">
      <c r="A41" s="96">
        <v>1</v>
      </c>
      <c r="B41" s="97" t="s">
        <v>536</v>
      </c>
      <c r="C41" s="98">
        <f>Rfb/1000</f>
        <v>75</v>
      </c>
      <c r="D41" s="685">
        <f>C41</f>
        <v>75</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5">
      <c r="A42" s="96" t="str">
        <f>CHOOSE(MODE_UVLO, "1", "-")</f>
        <v>1</v>
      </c>
      <c r="B42" s="97" t="s">
        <v>126</v>
      </c>
      <c r="C42" s="396" t="str">
        <f>CHOOSE(MODE_UVLO, 'Variable Mgmt'!H245, "-")</f>
        <v>46.4k</v>
      </c>
      <c r="D42" s="694" t="str">
        <f>CHOOSE(MODE_UVLO, "Resistor, Chip, "&amp;'Variable Mgmt'!C245&amp;", 1/16W, 1%", "-")</f>
        <v>Resistor, Chip, 46.4kΩ, 1/16W, 1%</v>
      </c>
      <c r="E42" s="695"/>
      <c r="F42" s="695"/>
      <c r="G42" s="99" t="s">
        <v>119</v>
      </c>
      <c r="H42" s="100" t="str">
        <f t="shared" ref="H42:I43" si="1">CHOOSE(MODE_UVLO, "Std", "-")</f>
        <v>Std</v>
      </c>
      <c r="I42" s="414" t="str">
        <f t="shared" si="1"/>
        <v>Std</v>
      </c>
      <c r="J42" s="422" t="str">
        <f>CHOOSE(MODE_UVLO, CHOOSE(Q42,'Variable Mgmt'!T64,'Variable Mgmt'!T65,'Variable Mgmt'!T66), "-")</f>
        <v>1.0 x 0.5</v>
      </c>
      <c r="K42" s="420">
        <f>CHOOSE(MODE_UVLO, CHOOSE(Q42,'Variable Mgmt'!U64,'Variable Mgmt'!U65,'Variable Mgmt'!U66,'Variable Mgmt'!U67,'Variable Mgmt'!U68),"-")</f>
        <v>0.5</v>
      </c>
      <c r="L42" s="425"/>
      <c r="O42" s="639"/>
      <c r="P42" s="641"/>
      <c r="Q42" s="643">
        <v>1</v>
      </c>
      <c r="R42" s="639"/>
      <c r="S42" s="639"/>
      <c r="T42" s="639"/>
      <c r="U42" s="639"/>
    </row>
    <row r="43" spans="1:21" s="95" customFormat="1" ht="17.100000000000001" customHeight="1" x14ac:dyDescent="0.25">
      <c r="A43" s="96" t="str">
        <f>CHOOSE(MODE_UVLO, "1", "-")</f>
        <v>1</v>
      </c>
      <c r="B43" s="97" t="s">
        <v>127</v>
      </c>
      <c r="C43" s="396" t="str">
        <f>CHOOSE(MODE_UVLO, 'Variable Mgmt'!H246, "-")</f>
        <v>10.7k</v>
      </c>
      <c r="D43" s="694" t="str">
        <f>CHOOSE(MODE_UVLO, "Resistor, Chip, "&amp;'Variable Mgmt'!C246&amp;", 1/16W, 1%", "-")</f>
        <v>Resistor, Chip, 10.7kΩ, 1/16W, 1%</v>
      </c>
      <c r="E43" s="695"/>
      <c r="F43" s="695"/>
      <c r="G43" s="99" t="s">
        <v>119</v>
      </c>
      <c r="H43" s="100" t="str">
        <f t="shared" si="1"/>
        <v>Std</v>
      </c>
      <c r="I43" s="414" t="str">
        <f t="shared" si="1"/>
        <v>Std</v>
      </c>
      <c r="J43" s="422" t="str">
        <f>CHOOSE(MODE_UVLO, CHOOSE(Q43,'Variable Mgmt'!T64,'Variable Mgmt'!T65,'Variable Mgmt'!T66), "-")</f>
        <v>1.0 x 0.5</v>
      </c>
      <c r="K43" s="420">
        <f>CHOOSE(MODE_UVLO, CHOOSE(Q43,'Variable Mgmt'!U64,'Variable Mgmt'!U65,'Variable Mgmt'!U66,'Variable Mgmt'!U67,'Variable Mgmt'!U68),"-")</f>
        <v>0.5</v>
      </c>
      <c r="L43" s="425"/>
      <c r="O43" s="639"/>
      <c r="P43" s="641"/>
      <c r="Q43" s="643">
        <v>1</v>
      </c>
      <c r="R43" s="639"/>
      <c r="S43" s="639"/>
      <c r="T43" s="639"/>
      <c r="U43" s="639"/>
    </row>
    <row r="44" spans="1:21" s="95" customFormat="1" ht="17.100000000000001" customHeight="1" x14ac:dyDescent="0.25">
      <c r="A44" s="96" t="str">
        <f>CHOOSE(MODE_TC, "1", "-")</f>
        <v>1</v>
      </c>
      <c r="B44" s="97" t="s">
        <v>527</v>
      </c>
      <c r="C44" s="98">
        <f>CHOOSE(MODE_TC, RTC, "-")</f>
        <v>150</v>
      </c>
      <c r="D44" s="685" t="str">
        <f>CHOOSE(MODE_TC, "Resistor, Chip, "&amp;'Variable Mgmt'!B241&amp;", 1/16W, 1%", "-")</f>
        <v>Resistor, Chip, 150kΩ, 1/16W, 1%</v>
      </c>
      <c r="E44" s="686"/>
      <c r="F44" s="686"/>
      <c r="G44" s="99" t="s">
        <v>119</v>
      </c>
      <c r="H44" s="100" t="str">
        <f>CHOOSE(MODE_TC, "Std", "-")</f>
        <v>Std</v>
      </c>
      <c r="I44" s="414" t="str">
        <f>CHOOSE(MODE_TC, "Std", "-")</f>
        <v>Std</v>
      </c>
      <c r="J44" s="422" t="str">
        <f>CHOOSE(MODE_TC, CHOOSE(Q44,'Variable Mgmt'!T64,'Variable Mgmt'!T385,'Variable Mgmt'!T66), "-")</f>
        <v>1.0 x 0.5</v>
      </c>
      <c r="K44" s="420">
        <f>CHOOSE(MODE_TC, CHOOSE(Q44,'Variable Mgmt'!U64,'Variable Mgmt'!U65,'Variable Mgmt'!U66,'Variable Mgmt'!U67,'Variable Mgmt'!U68),"-")</f>
        <v>0.5</v>
      </c>
      <c r="L44" s="425"/>
      <c r="O44" s="639"/>
      <c r="P44" s="641"/>
      <c r="Q44" s="643">
        <v>1</v>
      </c>
      <c r="R44" s="639"/>
      <c r="S44" s="639"/>
      <c r="T44" s="639"/>
      <c r="U44" s="639"/>
    </row>
    <row r="45" spans="1:21" s="540" customFormat="1" ht="16.5" customHeight="1" x14ac:dyDescent="0.25">
      <c r="A45" s="101">
        <v>1</v>
      </c>
      <c r="B45" s="102" t="s">
        <v>535</v>
      </c>
      <c r="C45" s="536">
        <f>'LM(2)518x PSR flyback converter'!L7</f>
        <v>47</v>
      </c>
      <c r="D45" s="691" t="str">
        <f>"Transformer, "&amp;L*1000000&amp;"µH, "&amp;'Variable Mgmt'!W52&amp;", "&amp;Rdcr_pri*1000&amp;"mΩ Pri DCR, "&amp;Isat&amp;"A Isat"</f>
        <v>Transformer, 47µH, 1 : 1, 1000mΩ Pri DCR, 1A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5">
      <c r="A46" s="399">
        <v>1</v>
      </c>
      <c r="B46" s="404" t="s">
        <v>128</v>
      </c>
      <c r="C46" s="424" t="str">
        <f>CHOOSE(VARIANT, "LM5180", "LM5181", "LM25180", "LM25183", "LM25184")</f>
        <v>LM5181</v>
      </c>
      <c r="D46" s="405" t="str">
        <f>CHOOSE(VARIANT, "IC, LM5180, PSR Flyback Converter, 4.5V–65V Input", "IC, LM5181, PSR Flyback Converter, 4.5V–65V Input", "IC, LM25180, PSR Flyback Converter, 4.5V–42V Input", "IC, LM25183, PSR Flyback Converter, 4.5V–42V Input", "IC, LM25184, PSR Flyback Converter, 4.5V–42V Input")</f>
        <v>IC, LM5181, PSR Flyback Converter, 4.5V–65V Input</v>
      </c>
      <c r="E46" s="406"/>
      <c r="F46" s="407"/>
      <c r="G46" s="403" t="s">
        <v>534</v>
      </c>
      <c r="H46" s="403" t="str">
        <f>CHOOSE(VARIANT, "LM5180NGUR", "LM5181NGUR", "LM25180NGUR", "LM25183NGUR", "LM25184NGUR")</f>
        <v>LM5181NGUR</v>
      </c>
      <c r="I46" s="405" t="s">
        <v>357</v>
      </c>
      <c r="J46" s="423" t="s">
        <v>355</v>
      </c>
      <c r="K46" s="421">
        <v>16</v>
      </c>
      <c r="L46" s="402"/>
      <c r="M46" s="402"/>
      <c r="N46" s="95"/>
      <c r="Q46" s="432"/>
    </row>
    <row r="47" spans="1:21" ht="17.100000000000001" customHeight="1" x14ac:dyDescent="0.25">
      <c r="J47" s="95"/>
      <c r="K47" s="412"/>
      <c r="L47" s="402"/>
      <c r="M47" s="402"/>
      <c r="N47" s="95"/>
    </row>
    <row r="48" spans="1:21" ht="17.25" customHeight="1" x14ac:dyDescent="0.3">
      <c r="H48" s="679" t="s">
        <v>359</v>
      </c>
      <c r="I48" s="679"/>
      <c r="J48" s="679"/>
      <c r="K48" s="429">
        <f>SUM(K31:K46)*1.25</f>
        <v>202.25</v>
      </c>
      <c r="L48" s="433" t="s">
        <v>360</v>
      </c>
      <c r="M48" s="430">
        <f>K48/25.4/25.4</f>
        <v>0.313488126976254</v>
      </c>
      <c r="N48" s="433" t="s">
        <v>358</v>
      </c>
    </row>
    <row r="49" spans="1:14" ht="17.100000000000001" customHeight="1" x14ac:dyDescent="0.25">
      <c r="J49" s="416"/>
      <c r="K49" s="417"/>
      <c r="L49" s="418"/>
      <c r="M49" s="419"/>
      <c r="N49" s="418"/>
    </row>
    <row r="50" spans="1:14" ht="20.25" customHeight="1" x14ac:dyDescent="0.25">
      <c r="A50" s="411" t="s">
        <v>137</v>
      </c>
    </row>
    <row r="51" spans="1:14" x14ac:dyDescent="0.25">
      <c r="A51" s="92" t="s">
        <v>819</v>
      </c>
    </row>
    <row r="52" spans="1:14" x14ac:dyDescent="0.25">
      <c r="A52" s="92" t="s">
        <v>820</v>
      </c>
      <c r="K52" s="410"/>
    </row>
    <row r="53" spans="1:14" x14ac:dyDescent="0.25">
      <c r="A53" s="92" t="s">
        <v>821</v>
      </c>
    </row>
    <row r="54" spans="1:14" x14ac:dyDescent="0.25">
      <c r="A54" s="92" t="s">
        <v>822</v>
      </c>
    </row>
    <row r="55" spans="1:14" x14ac:dyDescent="0.25">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22860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22860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22860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22860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22860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22860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22860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22860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22860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22860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22860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22860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22860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899160</xdr:colOff>
                    <xdr:row>32</xdr:row>
                    <xdr:rowOff>22860</xdr:rowOff>
                  </from>
                  <to>
                    <xdr:col>6</xdr:col>
                    <xdr:colOff>868680</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22860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zoomScale="74" zoomScaleNormal="100" workbookViewId="0">
      <selection sqref="A1:Q1"/>
    </sheetView>
  </sheetViews>
  <sheetFormatPr defaultColWidth="9.33203125" defaultRowHeight="13.2" x14ac:dyDescent="0.25"/>
  <cols>
    <col min="1" max="13" width="9.33203125" style="65"/>
    <col min="14" max="14" width="11.6640625" style="65" customWidth="1"/>
    <col min="15" max="16" width="9.33203125" style="65"/>
    <col min="17" max="17" width="15.6640625" style="65" customWidth="1"/>
    <col min="18" max="16384" width="9.33203125" style="65"/>
  </cols>
  <sheetData>
    <row r="1" spans="1:25" s="58" customFormat="1" ht="47.25" customHeight="1" x14ac:dyDescent="0.3">
      <c r="A1" s="700" t="s">
        <v>817</v>
      </c>
      <c r="B1" s="701"/>
      <c r="C1" s="701"/>
      <c r="D1" s="701"/>
      <c r="E1" s="701"/>
      <c r="F1" s="701"/>
      <c r="G1" s="701"/>
      <c r="H1" s="701"/>
      <c r="I1" s="701"/>
      <c r="J1" s="701"/>
      <c r="K1" s="701"/>
      <c r="L1" s="701"/>
      <c r="M1" s="701"/>
      <c r="N1" s="701"/>
      <c r="O1" s="701"/>
      <c r="P1" s="701"/>
      <c r="Q1" s="701"/>
    </row>
    <row r="6" spans="1:25" ht="20.399999999999999" x14ac:dyDescent="0.35">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3.2" x14ac:dyDescent="0.25"/>
  <cols>
    <col min="1" max="1" width="40.44140625" customWidth="1"/>
    <col min="2" max="2" width="11.6640625" customWidth="1"/>
    <col min="3" max="3" width="9.44140625" style="3" customWidth="1"/>
    <col min="4" max="4" width="10.33203125" customWidth="1"/>
    <col min="5" max="5" width="11.5546875" customWidth="1"/>
    <col min="6" max="6" width="14.6640625" customWidth="1"/>
    <col min="7" max="7" width="12.44140625" bestFit="1" customWidth="1"/>
    <col min="8" max="8" width="20.33203125" customWidth="1"/>
    <col min="9" max="9" width="14.44140625" customWidth="1"/>
    <col min="10" max="10" width="12.44140625" bestFit="1" customWidth="1"/>
    <col min="11" max="11" width="12" customWidth="1"/>
    <col min="12" max="12" width="8.6640625" customWidth="1"/>
    <col min="13" max="13" width="7" customWidth="1"/>
    <col min="14" max="14" width="9.33203125" customWidth="1"/>
    <col min="16" max="16" width="11.6640625" customWidth="1"/>
    <col min="17" max="17" width="11" customWidth="1"/>
    <col min="18" max="18" width="13.6640625" customWidth="1"/>
    <col min="19" max="19" width="5.44140625" customWidth="1"/>
    <col min="20" max="20" width="16.33203125" customWidth="1"/>
    <col min="22" max="22" width="9.6640625" customWidth="1"/>
    <col min="23" max="23" width="11.33203125" customWidth="1"/>
    <col min="24" max="24" width="5.6640625" customWidth="1"/>
    <col min="26" max="26" width="7.6640625" customWidth="1"/>
  </cols>
  <sheetData>
    <row r="1" spans="1:18" ht="30.75" customHeight="1" x14ac:dyDescent="0.5">
      <c r="A1" s="703" t="s">
        <v>171</v>
      </c>
      <c r="B1" s="703"/>
      <c r="C1" s="703"/>
      <c r="D1" s="703"/>
      <c r="E1" s="703"/>
      <c r="F1" s="703"/>
      <c r="G1" s="703"/>
      <c r="H1" s="703"/>
      <c r="I1" s="703"/>
    </row>
    <row r="2" spans="1:18" ht="12" customHeight="1" x14ac:dyDescent="0.25">
      <c r="A2" s="14"/>
      <c r="B2" s="14" t="s">
        <v>81</v>
      </c>
      <c r="C2" s="15"/>
      <c r="E2" s="14"/>
      <c r="F2" s="14"/>
      <c r="G2" s="14"/>
      <c r="H2" s="14"/>
      <c r="I2" s="14"/>
    </row>
    <row r="3" spans="1:18" ht="11.25" customHeight="1" x14ac:dyDescent="0.25">
      <c r="A3" s="14"/>
      <c r="B3" s="14" t="s">
        <v>100</v>
      </c>
      <c r="C3" s="16"/>
      <c r="E3" s="14"/>
      <c r="F3" s="14"/>
      <c r="G3" s="14"/>
      <c r="H3" s="14"/>
      <c r="I3" s="14"/>
    </row>
    <row r="4" spans="1:18" ht="11.25" customHeight="1" x14ac:dyDescent="0.25">
      <c r="A4" s="14"/>
      <c r="B4" s="14" t="s">
        <v>82</v>
      </c>
      <c r="C4" s="17"/>
      <c r="E4" s="14"/>
      <c r="F4" s="14"/>
      <c r="G4" s="14"/>
      <c r="H4" s="14"/>
      <c r="I4" s="14"/>
    </row>
    <row r="5" spans="1:18" x14ac:dyDescent="0.25">
      <c r="A5" s="3" t="s">
        <v>19</v>
      </c>
      <c r="B5" s="3" t="s">
        <v>6</v>
      </c>
      <c r="C5" s="3" t="s">
        <v>7</v>
      </c>
      <c r="E5" s="702" t="s">
        <v>9</v>
      </c>
      <c r="F5" s="702"/>
      <c r="G5" s="702"/>
      <c r="H5" s="702"/>
      <c r="I5" s="3" t="s">
        <v>173</v>
      </c>
    </row>
    <row r="6" spans="1:18" ht="16.2" thickBot="1" x14ac:dyDescent="0.35">
      <c r="A6" s="39" t="s">
        <v>61</v>
      </c>
      <c r="B6" s="3"/>
      <c r="D6" s="3"/>
      <c r="E6" s="14"/>
      <c r="F6" s="14"/>
      <c r="G6" s="14"/>
      <c r="H6" s="14"/>
      <c r="I6" s="3"/>
    </row>
    <row r="7" spans="1:18" x14ac:dyDescent="0.25">
      <c r="A7" s="88" t="s">
        <v>145</v>
      </c>
      <c r="B7" s="7">
        <f>'LM(2)518x PSR flyback converter'!E6</f>
        <v>13</v>
      </c>
      <c r="C7" s="26" t="s">
        <v>0</v>
      </c>
      <c r="D7" s="61" t="s">
        <v>146</v>
      </c>
      <c r="E7" s="26"/>
      <c r="F7" s="26"/>
      <c r="G7" s="26"/>
      <c r="H7" s="26"/>
      <c r="I7" s="27">
        <v>1</v>
      </c>
      <c r="K7" t="str">
        <f>'Variable Mgmt'!B59&amp;" Output PSR Flyback Converter, "&amp;"VIN = "&amp;Vin&amp;" V, VOUT = "&amp;Vout&amp;" V, IOUT = "&amp;Iout&amp;" A"</f>
        <v>SINGLE Output PSR Flyback Converter, VIN = 15 V, VOUT = 15 V, IOUT = 0.1 A</v>
      </c>
    </row>
    <row r="8" spans="1:18" x14ac:dyDescent="0.25">
      <c r="A8" s="89" t="s">
        <v>143</v>
      </c>
      <c r="B8" s="8">
        <f>'LM(2)518x PSR flyback converter'!E7</f>
        <v>15</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15 V, VOUT1 = 15 V, IOUT1 = 0.1 A, VOUT2 = -16 V, IOUT2 = -0.1 A</v>
      </c>
    </row>
    <row r="9" spans="1:18" x14ac:dyDescent="0.25">
      <c r="A9" s="89" t="s">
        <v>144</v>
      </c>
      <c r="B9" s="8">
        <f>'LM(2)518x PSR flyback converter'!E8</f>
        <v>26</v>
      </c>
      <c r="C9" t="s">
        <v>0</v>
      </c>
      <c r="D9" s="59" t="s">
        <v>147</v>
      </c>
      <c r="F9" s="141"/>
      <c r="I9" s="20"/>
    </row>
    <row r="10" spans="1:18" x14ac:dyDescent="0.25">
      <c r="A10" s="89"/>
      <c r="B10" s="180"/>
      <c r="C10"/>
      <c r="D10" s="59"/>
      <c r="I10" s="20"/>
      <c r="P10" s="135" t="s">
        <v>790</v>
      </c>
      <c r="Q10" s="141">
        <v>1</v>
      </c>
    </row>
    <row r="11" spans="1:18" x14ac:dyDescent="0.25">
      <c r="A11" s="19" t="s">
        <v>4</v>
      </c>
      <c r="B11" s="8">
        <f>'LM(2)518x PSR flyback converter'!E10</f>
        <v>15</v>
      </c>
      <c r="C11" t="s">
        <v>0</v>
      </c>
      <c r="D11" s="59" t="s">
        <v>576</v>
      </c>
      <c r="G11">
        <f>(Vout+Vfwd1)*Nps</f>
        <v>15.32</v>
      </c>
      <c r="I11" s="20">
        <v>1</v>
      </c>
      <c r="P11" s="135" t="s">
        <v>801</v>
      </c>
      <c r="Q11" s="141">
        <v>2</v>
      </c>
    </row>
    <row r="12" spans="1:18" x14ac:dyDescent="0.25">
      <c r="A12" s="19" t="s">
        <v>5</v>
      </c>
      <c r="B12" s="8">
        <f>'LM(2)518x PSR flyback converter'!E11</f>
        <v>0.1</v>
      </c>
      <c r="C12" s="59" t="s">
        <v>1</v>
      </c>
      <c r="D12" s="59" t="s">
        <v>663</v>
      </c>
      <c r="I12" s="20">
        <v>1</v>
      </c>
      <c r="L12" s="59"/>
      <c r="P12" s="135" t="s">
        <v>791</v>
      </c>
      <c r="Q12" s="141">
        <v>3</v>
      </c>
    </row>
    <row r="13" spans="1:18" x14ac:dyDescent="0.25">
      <c r="A13" s="89" t="s">
        <v>168</v>
      </c>
      <c r="B13" s="134">
        <f>Vout/Iout</f>
        <v>150</v>
      </c>
      <c r="C13" s="91" t="s">
        <v>45</v>
      </c>
      <c r="D13" s="59" t="s">
        <v>169</v>
      </c>
      <c r="I13" s="20"/>
      <c r="P13" s="135" t="s">
        <v>802</v>
      </c>
      <c r="Q13" s="141">
        <v>4</v>
      </c>
    </row>
    <row r="14" spans="1:18" x14ac:dyDescent="0.25">
      <c r="A14" s="89" t="s">
        <v>152</v>
      </c>
      <c r="B14" s="134">
        <f>Vout*Iout</f>
        <v>1.5</v>
      </c>
      <c r="C14" t="s">
        <v>45</v>
      </c>
      <c r="D14" s="59" t="s">
        <v>158</v>
      </c>
      <c r="I14" s="20"/>
      <c r="L14" s="59"/>
      <c r="P14" s="135" t="s">
        <v>803</v>
      </c>
      <c r="Q14" s="141">
        <v>5</v>
      </c>
    </row>
    <row r="15" spans="1:18" x14ac:dyDescent="0.25">
      <c r="B15" s="5"/>
      <c r="C15"/>
      <c r="D15" s="59"/>
      <c r="I15" s="20"/>
      <c r="L15" s="59"/>
      <c r="O15" s="319" t="s">
        <v>789</v>
      </c>
      <c r="P15" s="138" t="str">
        <f>CHOOSE(VARIANT, "LM5180", "LM5181", "LM25180", "LM25183", "LM25184")</f>
        <v>LM5181</v>
      </c>
      <c r="Q15" s="319">
        <v>2</v>
      </c>
      <c r="R15" s="5"/>
    </row>
    <row r="16" spans="1:18" x14ac:dyDescent="0.25">
      <c r="A16" s="89" t="s">
        <v>621</v>
      </c>
      <c r="B16" s="500">
        <f>ABS('LM(2)518x PSR flyback converter'!E12)</f>
        <v>16</v>
      </c>
      <c r="C16" t="s">
        <v>0</v>
      </c>
      <c r="D16" s="59" t="s">
        <v>578</v>
      </c>
      <c r="I16" s="20"/>
      <c r="L16" s="59"/>
      <c r="O16" s="319" t="s">
        <v>792</v>
      </c>
      <c r="P16" s="138">
        <f>CHOOSE(VARIANT, 65, 65, 42, 42, 42)</f>
        <v>65</v>
      </c>
      <c r="Q16" t="s">
        <v>0</v>
      </c>
    </row>
    <row r="17" spans="1:23" x14ac:dyDescent="0.25">
      <c r="A17" s="89" t="s">
        <v>622</v>
      </c>
      <c r="B17" s="534">
        <f>'LM(2)518x PSR flyback converter'!E12</f>
        <v>-16</v>
      </c>
      <c r="C17" t="s">
        <v>0</v>
      </c>
      <c r="D17" s="59"/>
      <c r="I17" s="20"/>
      <c r="L17" s="59"/>
      <c r="O17" s="384" t="s">
        <v>851</v>
      </c>
      <c r="P17">
        <f>CHOOSE(VARIANT, 100, 100, 70, 70, 70)</f>
        <v>100</v>
      </c>
      <c r="Q17" s="59" t="s">
        <v>0</v>
      </c>
    </row>
    <row r="18" spans="1:23" x14ac:dyDescent="0.25">
      <c r="A18" s="89" t="s">
        <v>508</v>
      </c>
      <c r="B18" s="500">
        <f>ABS('LM(2)518x PSR flyback converter'!E13)</f>
        <v>0.1</v>
      </c>
      <c r="C18" s="59" t="s">
        <v>1</v>
      </c>
      <c r="D18" s="59" t="s">
        <v>577</v>
      </c>
      <c r="I18" s="20"/>
      <c r="L18" s="59"/>
    </row>
    <row r="19" spans="1:23" x14ac:dyDescent="0.25">
      <c r="A19" s="59" t="s">
        <v>662</v>
      </c>
      <c r="B19">
        <f>Iout2*SIGN(Vout2_actual)</f>
        <v>-0.1</v>
      </c>
      <c r="C19" s="59" t="s">
        <v>1</v>
      </c>
      <c r="I19" s="20"/>
      <c r="L19" s="59"/>
      <c r="P19" s="3" t="s">
        <v>784</v>
      </c>
    </row>
    <row r="20" spans="1:23" x14ac:dyDescent="0.25">
      <c r="A20" s="89" t="s">
        <v>509</v>
      </c>
      <c r="B20" s="134">
        <f>ABS(Vout2/Iout2)</f>
        <v>160</v>
      </c>
      <c r="C20" s="91" t="s">
        <v>45</v>
      </c>
      <c r="D20" s="59" t="s">
        <v>511</v>
      </c>
      <c r="I20" s="20"/>
      <c r="K20" s="59" t="s">
        <v>542</v>
      </c>
      <c r="L20" s="59" t="s">
        <v>543</v>
      </c>
      <c r="P20" s="3" t="s">
        <v>783</v>
      </c>
      <c r="Q20">
        <v>1</v>
      </c>
    </row>
    <row r="21" spans="1:23" x14ac:dyDescent="0.25">
      <c r="A21" s="89" t="s">
        <v>510</v>
      </c>
      <c r="B21" s="134">
        <f>ABS(Vout2*Iout2)</f>
        <v>1.6</v>
      </c>
      <c r="C21" t="s">
        <v>45</v>
      </c>
      <c r="D21" s="59" t="s">
        <v>512</v>
      </c>
      <c r="I21" s="20"/>
      <c r="K21">
        <v>5</v>
      </c>
      <c r="L21" s="59">
        <v>-5</v>
      </c>
      <c r="P21" s="3" t="s">
        <v>782</v>
      </c>
      <c r="Q21">
        <v>2</v>
      </c>
    </row>
    <row r="22" spans="1:23" x14ac:dyDescent="0.25">
      <c r="A22" s="89" t="s">
        <v>513</v>
      </c>
      <c r="B22" s="134">
        <f>CHOOSE(MODE, Pout, Pout + Pout2)</f>
        <v>1.5</v>
      </c>
      <c r="C22" t="s">
        <v>45</v>
      </c>
      <c r="D22" s="59" t="s">
        <v>514</v>
      </c>
      <c r="I22" s="20"/>
      <c r="K22">
        <v>0.2</v>
      </c>
      <c r="L22" s="59">
        <v>0.2</v>
      </c>
      <c r="Q22" s="3">
        <v>2</v>
      </c>
    </row>
    <row r="23" spans="1:23" x14ac:dyDescent="0.25">
      <c r="A23" s="89"/>
      <c r="B23" s="5"/>
      <c r="C23"/>
      <c r="D23" s="59"/>
      <c r="I23" s="20"/>
      <c r="L23" s="59"/>
    </row>
    <row r="24" spans="1:23" x14ac:dyDescent="0.25">
      <c r="A24" s="29" t="str">
        <f>CHOOSE(MODE, "Turns Ratio, PRI : SEC", "Turns Ratio, PRI : SEC1")</f>
        <v>Turns Ratio, PRI : SEC</v>
      </c>
      <c r="B24" s="90" t="str">
        <f>Nps</f>
        <v>1</v>
      </c>
      <c r="C24"/>
      <c r="D24" s="59" t="str">
        <f>CHOOSE(MODE, "TR primary-secondary (single output) = Np/Ns", "TR primary-secondary1 (dual output) = Np/Nsec1")</f>
        <v>TR primary-secondary (single output) = Np/Ns</v>
      </c>
      <c r="I24" s="20"/>
      <c r="L24" s="59"/>
    </row>
    <row r="25" spans="1:23" x14ac:dyDescent="0.25">
      <c r="A25" s="29" t="s">
        <v>590</v>
      </c>
      <c r="B25" s="153">
        <f>Npri_sec2</f>
        <v>0.93872549019607843</v>
      </c>
      <c r="D25" s="59" t="s">
        <v>591</v>
      </c>
      <c r="I25" s="20"/>
      <c r="L25" s="59"/>
    </row>
    <row r="26" spans="1:23" x14ac:dyDescent="0.25">
      <c r="A26" s="29" t="s">
        <v>603</v>
      </c>
      <c r="B26" s="533">
        <f>Nsec1sec2</f>
        <v>1.0652741514360313</v>
      </c>
      <c r="D26" s="59" t="s">
        <v>592</v>
      </c>
      <c r="I26" s="20"/>
      <c r="L26" s="59"/>
      <c r="R26" s="138" t="s">
        <v>396</v>
      </c>
      <c r="V26" s="138" t="s">
        <v>396</v>
      </c>
    </row>
    <row r="27" spans="1:23" x14ac:dyDescent="0.25">
      <c r="I27" s="20"/>
      <c r="K27" s="138" t="s">
        <v>541</v>
      </c>
      <c r="R27" s="138" t="s">
        <v>585</v>
      </c>
      <c r="V27" s="138" t="s">
        <v>586</v>
      </c>
    </row>
    <row r="28" spans="1:23" x14ac:dyDescent="0.25">
      <c r="A28" s="59" t="s">
        <v>623</v>
      </c>
      <c r="B28" s="147">
        <f>Vout+VIN_max/Nps</f>
        <v>41</v>
      </c>
      <c r="C28" s="59" t="s">
        <v>0</v>
      </c>
      <c r="I28" s="20"/>
      <c r="K28" s="59" t="s">
        <v>538</v>
      </c>
      <c r="L28">
        <v>1</v>
      </c>
      <c r="R28" t="str">
        <f>"5 : 1"</f>
        <v>5 : 1</v>
      </c>
      <c r="S28">
        <v>1</v>
      </c>
      <c r="V28" t="str">
        <f>"5 : 1"</f>
        <v>5 : 1</v>
      </c>
      <c r="W28">
        <v>1</v>
      </c>
    </row>
    <row r="29" spans="1:23" x14ac:dyDescent="0.25">
      <c r="I29" s="20"/>
      <c r="K29" s="59" t="s">
        <v>539</v>
      </c>
      <c r="L29">
        <v>2</v>
      </c>
      <c r="R29" t="str">
        <f>"4 : 1"</f>
        <v>4 : 1</v>
      </c>
      <c r="S29">
        <v>2</v>
      </c>
      <c r="V29" t="str">
        <f>"4 : 1"</f>
        <v>4 : 1</v>
      </c>
      <c r="W29">
        <v>2</v>
      </c>
    </row>
    <row r="30" spans="1:23" x14ac:dyDescent="0.25">
      <c r="A30" s="89" t="s">
        <v>443</v>
      </c>
      <c r="B30" s="317">
        <f>1%*Vout*1000</f>
        <v>150</v>
      </c>
      <c r="C30" t="s">
        <v>149</v>
      </c>
      <c r="D30" s="59" t="s">
        <v>461</v>
      </c>
      <c r="I30" s="20"/>
      <c r="K30" s="59" t="s">
        <v>540</v>
      </c>
      <c r="L30">
        <v>3</v>
      </c>
      <c r="R30" t="str">
        <f>"3 : 1"</f>
        <v>3 : 1</v>
      </c>
      <c r="S30">
        <v>3</v>
      </c>
      <c r="V30" t="str">
        <f>"3 : 1"</f>
        <v>3 : 1</v>
      </c>
      <c r="W30">
        <v>3</v>
      </c>
    </row>
    <row r="31" spans="1:23" x14ac:dyDescent="0.25">
      <c r="A31" s="89"/>
      <c r="B31" s="317"/>
      <c r="C31"/>
      <c r="D31" s="59"/>
      <c r="I31" s="20"/>
      <c r="K31" s="59"/>
      <c r="R31" t="str">
        <f>"2.5 : 1"</f>
        <v>2.5 : 1</v>
      </c>
      <c r="S31">
        <v>4</v>
      </c>
      <c r="V31" t="str">
        <f>"2.5 : 1"</f>
        <v>2.5 : 1</v>
      </c>
      <c r="W31">
        <v>4</v>
      </c>
    </row>
    <row r="32" spans="1:23" x14ac:dyDescent="0.25">
      <c r="A32" s="89" t="s">
        <v>560</v>
      </c>
      <c r="B32" s="317">
        <f>1%*Vout2*1000</f>
        <v>160</v>
      </c>
      <c r="C32" t="s">
        <v>149</v>
      </c>
      <c r="D32" s="59" t="s">
        <v>559</v>
      </c>
      <c r="I32" s="20"/>
      <c r="Q32" s="453"/>
      <c r="R32" t="str">
        <f>"2 : 1"</f>
        <v>2 : 1</v>
      </c>
      <c r="S32">
        <v>5</v>
      </c>
      <c r="V32" t="str">
        <f>"2 : 1"</f>
        <v>2 : 1</v>
      </c>
      <c r="W32">
        <v>5</v>
      </c>
    </row>
    <row r="33" spans="1:23" x14ac:dyDescent="0.25">
      <c r="A33" s="59"/>
      <c r="B33" s="317"/>
      <c r="C33"/>
      <c r="D33" s="59"/>
      <c r="I33" s="20"/>
      <c r="Q33" s="453"/>
      <c r="R33" t="str">
        <f>"1.8 : 1"</f>
        <v>1.8 : 1</v>
      </c>
      <c r="S33">
        <v>6</v>
      </c>
      <c r="V33" t="str">
        <f>"1.8 : 1"</f>
        <v>1.8 : 1</v>
      </c>
      <c r="W33">
        <v>6</v>
      </c>
    </row>
    <row r="34" spans="1:23" x14ac:dyDescent="0.25">
      <c r="I34" s="20"/>
      <c r="R34" t="str">
        <f>"1.5 : 1"</f>
        <v>1.5 : 1</v>
      </c>
      <c r="S34">
        <v>7</v>
      </c>
      <c r="V34" t="str">
        <f>"1.5 : 1"</f>
        <v>1.5 : 1</v>
      </c>
      <c r="W34">
        <v>7</v>
      </c>
    </row>
    <row r="35" spans="1:23" x14ac:dyDescent="0.25">
      <c r="I35" s="20"/>
      <c r="R35" s="671" t="s">
        <v>856</v>
      </c>
      <c r="S35">
        <v>8</v>
      </c>
      <c r="V35" s="671" t="s">
        <v>856</v>
      </c>
      <c r="W35">
        <v>8</v>
      </c>
    </row>
    <row r="36" spans="1:23" x14ac:dyDescent="0.25">
      <c r="A36" s="89" t="s">
        <v>47</v>
      </c>
      <c r="B36" s="535">
        <v>0.9</v>
      </c>
      <c r="C36"/>
      <c r="D36" s="59" t="s">
        <v>175</v>
      </c>
      <c r="I36" s="20"/>
      <c r="R36" t="str">
        <f>"1 : 1"</f>
        <v>1 : 1</v>
      </c>
      <c r="S36">
        <v>9</v>
      </c>
      <c r="V36" t="str">
        <f>"1 : 1"</f>
        <v>1 : 1</v>
      </c>
      <c r="W36">
        <v>9</v>
      </c>
    </row>
    <row r="37" spans="1:23" x14ac:dyDescent="0.25">
      <c r="A37" s="89"/>
      <c r="B37" s="535"/>
      <c r="C37"/>
      <c r="D37" s="59"/>
      <c r="I37" s="20"/>
      <c r="R37" s="671" t="s">
        <v>857</v>
      </c>
      <c r="S37">
        <v>10</v>
      </c>
      <c r="V37" s="671" t="s">
        <v>857</v>
      </c>
      <c r="W37">
        <v>10</v>
      </c>
    </row>
    <row r="38" spans="1:23" x14ac:dyDescent="0.25">
      <c r="A38" s="89" t="s">
        <v>156</v>
      </c>
      <c r="B38" s="362">
        <f>Pout/Efficiency</f>
        <v>1.6666666666666665</v>
      </c>
      <c r="C38" t="s">
        <v>45</v>
      </c>
      <c r="D38" s="59" t="s">
        <v>462</v>
      </c>
      <c r="I38" s="20"/>
      <c r="R38" t="str">
        <f>"1 : 1.5"</f>
        <v>1 : 1.5</v>
      </c>
      <c r="S38">
        <v>11</v>
      </c>
      <c r="V38" t="str">
        <f>"1 : 1.5"</f>
        <v>1 : 1.5</v>
      </c>
      <c r="W38">
        <v>11</v>
      </c>
    </row>
    <row r="39" spans="1:23" x14ac:dyDescent="0.25">
      <c r="A39" s="89"/>
      <c r="B39" s="362"/>
      <c r="C39"/>
      <c r="D39" s="59"/>
      <c r="I39" s="20"/>
      <c r="R39" t="str">
        <f>"1 : 1.8"</f>
        <v>1 : 1.8</v>
      </c>
      <c r="S39">
        <v>12</v>
      </c>
      <c r="V39" t="str">
        <f>"1 : 1.8"</f>
        <v>1 : 1.8</v>
      </c>
      <c r="W39">
        <v>12</v>
      </c>
    </row>
    <row r="40" spans="1:23" x14ac:dyDescent="0.25">
      <c r="A40" s="89" t="s">
        <v>153</v>
      </c>
      <c r="B40" s="143">
        <f>Pin/VIN_min</f>
        <v>0.12820512820512819</v>
      </c>
      <c r="C40" t="s">
        <v>1</v>
      </c>
      <c r="D40" s="59"/>
      <c r="I40" s="20"/>
      <c r="R40" t="str">
        <f>"1 : 2"</f>
        <v>1 : 2</v>
      </c>
      <c r="S40">
        <v>13</v>
      </c>
      <c r="V40" t="str">
        <f>"1 : 2"</f>
        <v>1 : 2</v>
      </c>
      <c r="W40">
        <v>13</v>
      </c>
    </row>
    <row r="41" spans="1:23" x14ac:dyDescent="0.25">
      <c r="A41" s="89"/>
      <c r="B41" s="143"/>
      <c r="C41"/>
      <c r="D41" s="59"/>
      <c r="I41" s="20"/>
      <c r="R41" t="str">
        <f>"1 : 2.5"</f>
        <v>1 : 2.5</v>
      </c>
      <c r="S41">
        <v>14</v>
      </c>
      <c r="V41" t="str">
        <f>"1 : 2.5"</f>
        <v>1 : 2.5</v>
      </c>
      <c r="W41">
        <v>14</v>
      </c>
    </row>
    <row r="42" spans="1:23" x14ac:dyDescent="0.25">
      <c r="A42" s="89" t="s">
        <v>154</v>
      </c>
      <c r="B42" s="143">
        <f>Pin/VIN_nom</f>
        <v>0.1111111111111111</v>
      </c>
      <c r="C42" t="s">
        <v>1</v>
      </c>
      <c r="D42" s="59" t="s">
        <v>159</v>
      </c>
      <c r="I42" s="20">
        <v>1</v>
      </c>
      <c r="K42" s="59"/>
      <c r="R42" t="str">
        <f>"1 : 3"</f>
        <v>1 : 3</v>
      </c>
      <c r="S42">
        <v>15</v>
      </c>
      <c r="V42" t="str">
        <f>"1 : 3"</f>
        <v>1 : 3</v>
      </c>
      <c r="W42">
        <v>15</v>
      </c>
    </row>
    <row r="43" spans="1:23" x14ac:dyDescent="0.25">
      <c r="A43" s="89" t="s">
        <v>155</v>
      </c>
      <c r="B43" s="143">
        <f>Pin/VIN_max</f>
        <v>6.4102564102564097E-2</v>
      </c>
      <c r="C43" t="s">
        <v>1</v>
      </c>
      <c r="D43" s="59"/>
      <c r="I43" s="20"/>
      <c r="R43" t="str">
        <f>"1 : 4"</f>
        <v>1 : 4</v>
      </c>
      <c r="S43">
        <v>16</v>
      </c>
      <c r="V43" t="str">
        <f>"1 : 4"</f>
        <v>1 : 4</v>
      </c>
      <c r="W43">
        <v>16</v>
      </c>
    </row>
    <row r="44" spans="1:23" x14ac:dyDescent="0.25">
      <c r="A44" s="89"/>
      <c r="B44" s="143"/>
      <c r="C44"/>
      <c r="D44" s="59"/>
      <c r="I44" s="20"/>
      <c r="R44" t="str">
        <f>"1 : 5"</f>
        <v>1 : 5</v>
      </c>
      <c r="S44">
        <v>17</v>
      </c>
      <c r="V44" t="str">
        <f>"1 : 5"</f>
        <v>1 : 5</v>
      </c>
      <c r="W44">
        <v>17</v>
      </c>
    </row>
    <row r="45" spans="1:23" x14ac:dyDescent="0.25">
      <c r="A45" s="89" t="s">
        <v>620</v>
      </c>
      <c r="B45" s="5">
        <f>CHOOSE(MODE, 'Calculations - Single'!N110, 'Calculations - Dual'!O110+'Calculations - Dual'!P110)</f>
        <v>2.3997235845654528</v>
      </c>
      <c r="C45" s="59" t="s">
        <v>45</v>
      </c>
      <c r="D45" s="59" t="b">
        <f>B45&lt;Pout_total</f>
        <v>0</v>
      </c>
      <c r="I45" s="20"/>
      <c r="Q45" s="490" t="s">
        <v>395</v>
      </c>
      <c r="R45" s="319" t="str">
        <f>CHOOSE(Turns_Ratio, "5 : 1", "4 : 1", "3 : 1", "2.5 : 1", "2 : 1", "1.8 : 1", "1.5 : 1", "1.2 : 1", "1 : 1", "1 : 1.2", "1 : 1.5", "1 : 1.8", "1 : 2",  "1 : 2.5","1 : 3", "1 : 4", "1 : 5")</f>
        <v>1 : 1</v>
      </c>
      <c r="S45" s="3">
        <v>9</v>
      </c>
      <c r="U45" s="490" t="s">
        <v>584</v>
      </c>
      <c r="V45" s="162" t="str">
        <f>CHOOSE(Turns_Ratio2, "5 : 1", "4 : 1", "3 : 1", "2.5 : 1", "2 : 1", "1.8 : 1","1.5 : 1", "1.2 : 1", "1 : 1", "1 : 1.2", "1 : 1.5", "1 : 2",  "1 : 2.5","1 : 3", "1 : 4", "1 : 5")</f>
        <v>1 : 1</v>
      </c>
      <c r="W45" s="3">
        <v>9</v>
      </c>
    </row>
    <row r="46" spans="1:23" x14ac:dyDescent="0.25">
      <c r="A46" s="89" t="s">
        <v>807</v>
      </c>
      <c r="B46" s="153">
        <f>CHOOSE(MODE, 'Calculations - Single'!N111, 'Calculations - Dual'!O111+'Calculations - Dual'!P111)/Vout</f>
        <v>0.15998157230436352</v>
      </c>
      <c r="C46" s="59" t="s">
        <v>1</v>
      </c>
      <c r="D46" s="59"/>
      <c r="I46" s="20"/>
      <c r="Q46" s="490"/>
      <c r="R46" s="319"/>
      <c r="S46" s="3"/>
      <c r="U46" s="490"/>
      <c r="V46" s="162"/>
      <c r="W46" s="3"/>
    </row>
    <row r="47" spans="1:23" x14ac:dyDescent="0.25">
      <c r="A47" s="89" t="s">
        <v>435</v>
      </c>
      <c r="B47" s="111">
        <v>350000</v>
      </c>
      <c r="C47" s="59" t="s">
        <v>8</v>
      </c>
      <c r="D47" s="59" t="s">
        <v>579</v>
      </c>
      <c r="I47" s="20"/>
    </row>
    <row r="48" spans="1:23" x14ac:dyDescent="0.25">
      <c r="A48" s="21" t="s">
        <v>18</v>
      </c>
      <c r="B48" s="22">
        <v>1.21</v>
      </c>
      <c r="C48" t="s">
        <v>0</v>
      </c>
      <c r="D48" s="59" t="s">
        <v>580</v>
      </c>
      <c r="I48" s="20"/>
      <c r="Q48" s="59" t="s">
        <v>454</v>
      </c>
      <c r="R48" s="319" t="str">
        <f>CHOOSE(Turns_Ratio, "5", "4 ", "3", "2.5", "2", "1.8", "1.5", "1.2", "1", "0.833",  "0.667", "0.556", "0.5", "0.4", "0.33", "0.25", "0.2")</f>
        <v>1</v>
      </c>
    </row>
    <row r="49" spans="1:23" x14ac:dyDescent="0.25">
      <c r="A49" s="89" t="s">
        <v>393</v>
      </c>
      <c r="B49" s="144">
        <f>'LM(2)518x PSR flyback converter'!E28*1000</f>
        <v>75000</v>
      </c>
      <c r="C49" s="91" t="s">
        <v>45</v>
      </c>
      <c r="D49" s="59" t="s">
        <v>581</v>
      </c>
      <c r="I49" s="20"/>
      <c r="Q49" s="59" t="s">
        <v>503</v>
      </c>
      <c r="R49" s="319" t="str">
        <f>CHOOSE(Turns_Ratio, "5", "4 ", "3", "2.5", "2", "1.8", "1.5", "1.2", "1", "0.833",  "0.667","0.556", "0.5", "0.4", "0.333", "0.25", "0.2")</f>
        <v>1</v>
      </c>
      <c r="V49" s="59" t="s">
        <v>588</v>
      </c>
      <c r="W49" s="138" t="str">
        <f>CHOOSE(Turns_Ratio, "1", "1", "1", "1", "1", "1", "1", "1", "1", "1.2", "1.5", "1.8",  "2", "2.5", "3", "4", "5")</f>
        <v>1</v>
      </c>
    </row>
    <row r="50" spans="1:23" x14ac:dyDescent="0.25">
      <c r="A50" s="89" t="s">
        <v>786</v>
      </c>
      <c r="B50" s="317">
        <f>VIN_max+Nps*(Vout+Vfwd2)</f>
        <v>41.4</v>
      </c>
      <c r="C50" s="59" t="s">
        <v>0</v>
      </c>
      <c r="D50" s="59" t="b">
        <f>B50&gt;F50</f>
        <v>0</v>
      </c>
      <c r="F50">
        <f>CHOOSE(VARIANT, 90, 90, 60, 60, 60)</f>
        <v>90</v>
      </c>
      <c r="I50" s="20"/>
      <c r="K50" s="59" t="s">
        <v>397</v>
      </c>
      <c r="Q50" s="59" t="s">
        <v>587</v>
      </c>
      <c r="R50" s="546">
        <f>ABS((Vout2+Vfwd1)/(Vout+Vfwd1))</f>
        <v>1.0652741514360313</v>
      </c>
      <c r="V50" s="59" t="s">
        <v>587</v>
      </c>
      <c r="W50" s="532">
        <f>Nsec1sec2</f>
        <v>1.0652741514360313</v>
      </c>
    </row>
    <row r="51" spans="1:23" ht="15.6" x14ac:dyDescent="0.35">
      <c r="A51" s="89" t="s">
        <v>394</v>
      </c>
      <c r="B51" s="153">
        <v>0.1</v>
      </c>
      <c r="C51" s="59" t="s">
        <v>45</v>
      </c>
      <c r="D51" s="59" t="s">
        <v>582</v>
      </c>
      <c r="F51" s="162" t="s">
        <v>583</v>
      </c>
      <c r="I51" s="20"/>
      <c r="Q51" s="330" t="s">
        <v>504</v>
      </c>
      <c r="R51" s="530">
        <f>Nps/Nsec1sec2</f>
        <v>0.93872549019607843</v>
      </c>
      <c r="V51" s="3"/>
      <c r="W51" s="531">
        <f>W49*W50</f>
        <v>1.0652741514360313</v>
      </c>
    </row>
    <row r="52" spans="1:23" ht="13.8" thickBot="1" x14ac:dyDescent="0.3">
      <c r="A52" s="23"/>
      <c r="B52" s="24"/>
      <c r="C52" s="62"/>
      <c r="D52" s="24"/>
      <c r="E52" s="24"/>
      <c r="F52" s="24"/>
      <c r="G52" s="24"/>
      <c r="H52" s="24"/>
      <c r="I52" s="25"/>
      <c r="K52" s="384" t="str">
        <f>"SCH_"&amp;B59&amp;"_"&amp;F64&amp;"_"&amp;I64&amp;"_"&amp;F58</f>
        <v>SCH_SINGLE_UVLOadj_SSadj_TCyes</v>
      </c>
      <c r="R52" s="60">
        <f>ROUND(Nsec1sec2,1)</f>
        <v>1.1000000000000001</v>
      </c>
      <c r="V52" s="138" t="s">
        <v>589</v>
      </c>
      <c r="W52" s="320" t="str">
        <f>CHOOSE(MODE, R45, R45&amp;" : "&amp;ROUND(W51,2))</f>
        <v>1 : 1</v>
      </c>
    </row>
    <row r="54" spans="1:23" ht="16.2" thickBot="1" x14ac:dyDescent="0.35">
      <c r="A54" s="39" t="s">
        <v>570</v>
      </c>
    </row>
    <row r="55" spans="1:23" ht="15.6" x14ac:dyDescent="0.3">
      <c r="A55" s="324"/>
      <c r="B55" s="325"/>
      <c r="C55" s="326"/>
      <c r="D55" s="325"/>
      <c r="E55" s="325"/>
      <c r="F55" s="325"/>
      <c r="G55" s="325"/>
      <c r="H55" s="325"/>
      <c r="I55" s="378"/>
      <c r="J55" s="378"/>
      <c r="K55" s="378"/>
      <c r="L55" s="378"/>
      <c r="M55" s="378"/>
      <c r="N55" s="378"/>
      <c r="O55" s="19"/>
    </row>
    <row r="56" spans="1:23" x14ac:dyDescent="0.25">
      <c r="A56" s="138" t="s">
        <v>363</v>
      </c>
      <c r="B56" s="59" t="s">
        <v>364</v>
      </c>
      <c r="C56" s="379">
        <v>1</v>
      </c>
      <c r="E56" s="138" t="s">
        <v>381</v>
      </c>
      <c r="F56" s="59" t="s">
        <v>366</v>
      </c>
      <c r="G56" s="141" t="b">
        <v>1</v>
      </c>
      <c r="I56" s="135" t="s">
        <v>301</v>
      </c>
      <c r="J56" s="141">
        <v>1</v>
      </c>
      <c r="K56" t="str">
        <f>B59&amp;", "&amp;F58&amp;", "&amp;I58&amp;", "&amp;F64&amp;", "&amp;I64</f>
        <v>SINGLE, TCyes, IlimRes, UVLOadj, SSadj</v>
      </c>
      <c r="O56" s="19"/>
      <c r="Q56" s="135" t="s">
        <v>334</v>
      </c>
      <c r="R56" s="3" t="s">
        <v>329</v>
      </c>
      <c r="S56" s="60">
        <v>1</v>
      </c>
    </row>
    <row r="57" spans="1:23" x14ac:dyDescent="0.25">
      <c r="A57" s="321"/>
      <c r="B57" s="59" t="s">
        <v>365</v>
      </c>
      <c r="C57" s="379">
        <v>2</v>
      </c>
      <c r="E57" s="11"/>
      <c r="F57" s="59" t="s">
        <v>367</v>
      </c>
      <c r="G57" s="141" t="b">
        <v>0</v>
      </c>
      <c r="I57" s="135" t="s">
        <v>302</v>
      </c>
      <c r="J57" s="141">
        <v>2</v>
      </c>
      <c r="K57" t="str">
        <f>C59&amp;", "&amp;G58&amp;", "&amp;J58&amp;", "&amp;G64&amp;", "&amp;J64</f>
        <v>1, 1, 2, 1, 1</v>
      </c>
      <c r="O57" s="19"/>
      <c r="Q57" s="135" t="s">
        <v>336</v>
      </c>
      <c r="R57" s="3" t="s">
        <v>330</v>
      </c>
      <c r="S57" s="60">
        <v>2</v>
      </c>
    </row>
    <row r="58" spans="1:23" x14ac:dyDescent="0.25">
      <c r="B58" s="59" t="s">
        <v>517</v>
      </c>
      <c r="C58" s="141">
        <v>3</v>
      </c>
      <c r="E58" s="383" t="s">
        <v>382</v>
      </c>
      <c r="F58" s="323" t="str">
        <f>CHOOSE(G58, "TCyes", "TCno")</f>
        <v>TCyes</v>
      </c>
      <c r="G58" s="319">
        <v>1</v>
      </c>
      <c r="H58" s="383" t="s">
        <v>300</v>
      </c>
      <c r="I58" s="323" t="str">
        <f>CHOOSE(J58, "IlimGND", "IlimRes")</f>
        <v>IlimRes</v>
      </c>
      <c r="J58" s="319">
        <f>IF(C64=4, 1, 2)</f>
        <v>2</v>
      </c>
      <c r="K58" t="str">
        <f>C59&amp;G58&amp;J58&amp;G64&amp;J64</f>
        <v>11211</v>
      </c>
      <c r="O58" s="19"/>
      <c r="Q58" s="135" t="s">
        <v>337</v>
      </c>
      <c r="R58" s="3" t="s">
        <v>331</v>
      </c>
      <c r="S58" s="60">
        <v>3</v>
      </c>
    </row>
    <row r="59" spans="1:23" x14ac:dyDescent="0.25">
      <c r="A59" s="381" t="s">
        <v>285</v>
      </c>
      <c r="B59" s="380" t="str">
        <f>CHOOSE(C59,"SINGLE", IF(Vout2_actual&gt;0, "DUAL", "BIPOLAR"))</f>
        <v>SINGLE</v>
      </c>
      <c r="C59" s="322">
        <v>1</v>
      </c>
      <c r="G59" s="60">
        <f>TC</f>
        <v>1</v>
      </c>
      <c r="I59" s="319"/>
      <c r="O59" s="19"/>
      <c r="Q59" s="135" t="s">
        <v>335</v>
      </c>
      <c r="R59" s="3" t="s">
        <v>332</v>
      </c>
      <c r="S59" s="60">
        <v>4</v>
      </c>
    </row>
    <row r="60" spans="1:23" x14ac:dyDescent="0.25">
      <c r="A60" s="321"/>
      <c r="B60" s="3" t="b">
        <f>CHOOSE(C59, TRUE, FALSE)</f>
        <v>1</v>
      </c>
      <c r="C60" s="60" t="str">
        <f>CHOOSE(C59,"1", IF(Vout2&gt;0, "2", "3"))</f>
        <v>1</v>
      </c>
      <c r="O60" s="19"/>
      <c r="Q60" s="135" t="s">
        <v>339</v>
      </c>
      <c r="R60" s="3" t="s">
        <v>338</v>
      </c>
      <c r="S60" s="60">
        <v>5</v>
      </c>
    </row>
    <row r="61" spans="1:23" x14ac:dyDescent="0.25">
      <c r="O61" s="19"/>
      <c r="Q61" s="383" t="s">
        <v>333</v>
      </c>
      <c r="R61" s="162" t="str">
        <f>CHOOSE(S61,"6.3V","10V","16V","25V","50V")</f>
        <v>25V</v>
      </c>
      <c r="S61" s="319">
        <f>IF(Vout&lt;=5, 1, IF(Vout&lt;=8, 2, IF(Vout&lt;=12, 3, IF(Vout&lt;=20, 4, 5))))</f>
        <v>4</v>
      </c>
    </row>
    <row r="62" spans="1:23" x14ac:dyDescent="0.25">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5">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5">
      <c r="A64" s="382" t="s">
        <v>286</v>
      </c>
      <c r="B64" s="380" t="str">
        <f>CHOOSE(C64, "YES", "NO")</f>
        <v>YES</v>
      </c>
      <c r="C64" s="322">
        <v>1</v>
      </c>
      <c r="E64" s="383" t="s">
        <v>305</v>
      </c>
      <c r="F64" s="323" t="str">
        <f>CHOOSE(G64, "UVLOadj", "UVLOint")</f>
        <v>UVLOadj</v>
      </c>
      <c r="G64" s="319">
        <v>1</v>
      </c>
      <c r="H64" s="383" t="s">
        <v>287</v>
      </c>
      <c r="I64" s="323" t="str">
        <f>CHOOSE(J64, "SSadj", "SSint")</f>
        <v>SSadj</v>
      </c>
      <c r="J64" s="319">
        <v>1</v>
      </c>
      <c r="L64" s="320" t="s">
        <v>298</v>
      </c>
      <c r="M64" s="319">
        <v>1</v>
      </c>
      <c r="O64" s="19"/>
      <c r="R64" s="398" t="s">
        <v>342</v>
      </c>
      <c r="S64" s="60">
        <v>1</v>
      </c>
      <c r="T64" s="59" t="s">
        <v>348</v>
      </c>
      <c r="U64" s="147">
        <v>0.5</v>
      </c>
    </row>
    <row r="65" spans="1:26" ht="13.8" thickBot="1" x14ac:dyDescent="0.3">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5">
      <c r="B66" t="b">
        <f>(CONFIG="2")</f>
        <v>0</v>
      </c>
      <c r="C66" s="3" t="str">
        <f>CONFIG</f>
        <v>1</v>
      </c>
      <c r="R66" s="398" t="s">
        <v>343</v>
      </c>
      <c r="S66" s="60">
        <v>3</v>
      </c>
      <c r="T66" s="59" t="s">
        <v>353</v>
      </c>
      <c r="U66" s="147">
        <v>2.5</v>
      </c>
    </row>
    <row r="67" spans="1:26" ht="16.2" thickBot="1" x14ac:dyDescent="0.35">
      <c r="A67" s="39" t="s">
        <v>571</v>
      </c>
      <c r="B67" s="3"/>
      <c r="R67" s="398" t="s">
        <v>344</v>
      </c>
      <c r="S67" s="60">
        <v>4</v>
      </c>
      <c r="T67" s="59" t="s">
        <v>351</v>
      </c>
      <c r="U67" s="147">
        <v>5.0999999999999996</v>
      </c>
    </row>
    <row r="68" spans="1:26" x14ac:dyDescent="0.25">
      <c r="A68" s="88"/>
      <c r="B68" s="516"/>
      <c r="C68" s="517"/>
      <c r="D68" s="133"/>
      <c r="E68" s="61"/>
      <c r="F68" s="26"/>
      <c r="G68" s="26"/>
      <c r="H68" s="26"/>
      <c r="I68" s="27">
        <v>1</v>
      </c>
      <c r="R68" s="398" t="s">
        <v>345</v>
      </c>
      <c r="S68" s="60">
        <v>5</v>
      </c>
      <c r="T68" s="59" t="s">
        <v>354</v>
      </c>
      <c r="U68" s="147">
        <v>8</v>
      </c>
    </row>
    <row r="69" spans="1:26" x14ac:dyDescent="0.25">
      <c r="A69" s="89" t="s">
        <v>150</v>
      </c>
      <c r="B69" s="142">
        <f>Nps*(Vout+Vfwd2)/(VIN_min+Nps*(Vout+Vfwd2))</f>
        <v>0.54225352112676062</v>
      </c>
      <c r="C69"/>
      <c r="D69" t="b">
        <f>B69&gt;0.75</f>
        <v>0</v>
      </c>
      <c r="E69" s="59"/>
      <c r="I69" s="20">
        <v>1</v>
      </c>
      <c r="Q69" s="383" t="s">
        <v>346</v>
      </c>
      <c r="R69" s="162" t="str">
        <f>CHOOSE(S69,"0402","0603","0805","1206","1210")</f>
        <v>1210</v>
      </c>
      <c r="S69" s="319">
        <v>5</v>
      </c>
      <c r="T69" s="162" t="str">
        <f>CHOOSE(S69,T64,T65, T66,T67,T68)</f>
        <v>3.2 x 2.5</v>
      </c>
    </row>
    <row r="70" spans="1:26" x14ac:dyDescent="0.25">
      <c r="A70" s="89" t="s">
        <v>157</v>
      </c>
      <c r="B70" s="142">
        <f>Nps*(Vout+Vfwd1)/(VIN_nom+Nps*(Vout+Vfwd1))</f>
        <v>0.50527704485488123</v>
      </c>
      <c r="C70"/>
      <c r="I70" s="20"/>
    </row>
    <row r="71" spans="1:26" x14ac:dyDescent="0.25">
      <c r="A71" s="89" t="s">
        <v>151</v>
      </c>
      <c r="B71" s="142">
        <f>Nps*(Vout+Vfwd1)/(VIN_max+Nps*(Vout+Vfwd1))</f>
        <v>0.37076476282671827</v>
      </c>
      <c r="C71"/>
      <c r="E71" s="59"/>
      <c r="I71" s="20"/>
    </row>
    <row r="72" spans="1:26" x14ac:dyDescent="0.25">
      <c r="A72" s="59"/>
      <c r="C72"/>
      <c r="E72" s="59"/>
      <c r="I72" s="20"/>
      <c r="R72" s="3" t="s">
        <v>645</v>
      </c>
      <c r="S72" s="3"/>
      <c r="T72" s="3" t="s">
        <v>116</v>
      </c>
      <c r="U72" s="3" t="s">
        <v>646</v>
      </c>
      <c r="W72" s="3" t="s">
        <v>645</v>
      </c>
      <c r="X72" s="3"/>
      <c r="Y72" s="3" t="s">
        <v>116</v>
      </c>
      <c r="Z72" s="3" t="s">
        <v>646</v>
      </c>
    </row>
    <row r="73" spans="1:26" x14ac:dyDescent="0.25">
      <c r="A73" s="89"/>
      <c r="B73" s="551"/>
      <c r="C73" s="59"/>
      <c r="D73" s="59"/>
      <c r="I73" s="20"/>
      <c r="R73" s="59" t="s">
        <v>349</v>
      </c>
      <c r="S73" s="60">
        <v>1</v>
      </c>
      <c r="T73" s="330" t="s">
        <v>634</v>
      </c>
      <c r="U73" s="147">
        <v>36</v>
      </c>
      <c r="W73" s="59" t="s">
        <v>652</v>
      </c>
      <c r="X73" s="60">
        <v>1</v>
      </c>
      <c r="Y73" s="59" t="s">
        <v>352</v>
      </c>
      <c r="Z73">
        <v>1.3</v>
      </c>
    </row>
    <row r="74" spans="1:26" x14ac:dyDescent="0.25">
      <c r="A74" s="89"/>
      <c r="B74" s="551"/>
      <c r="C74"/>
      <c r="D74" s="59"/>
      <c r="I74" s="20"/>
      <c r="R74" s="59" t="s">
        <v>350</v>
      </c>
      <c r="S74" s="60">
        <v>2</v>
      </c>
      <c r="T74" s="330" t="s">
        <v>633</v>
      </c>
      <c r="U74" s="147">
        <v>49</v>
      </c>
      <c r="W74" s="59" t="s">
        <v>642</v>
      </c>
      <c r="X74" s="60">
        <v>2</v>
      </c>
      <c r="Y74" s="59" t="s">
        <v>651</v>
      </c>
      <c r="Z74">
        <v>3.2</v>
      </c>
    </row>
    <row r="75" spans="1:26" x14ac:dyDescent="0.25">
      <c r="A75" s="89"/>
      <c r="B75" s="551"/>
      <c r="C75" s="59"/>
      <c r="D75" s="59"/>
      <c r="I75" s="20"/>
      <c r="R75" s="59" t="s">
        <v>624</v>
      </c>
      <c r="S75" s="60">
        <v>3</v>
      </c>
      <c r="T75" s="330" t="s">
        <v>632</v>
      </c>
      <c r="U75" s="147">
        <v>64</v>
      </c>
      <c r="W75" s="59" t="s">
        <v>643</v>
      </c>
      <c r="X75" s="60">
        <v>3</v>
      </c>
      <c r="Y75" s="59" t="s">
        <v>650</v>
      </c>
      <c r="Z75">
        <v>6.5</v>
      </c>
    </row>
    <row r="76" spans="1:26" x14ac:dyDescent="0.25">
      <c r="A76" s="59"/>
      <c r="C76"/>
      <c r="I76" s="20">
        <v>1</v>
      </c>
      <c r="R76" s="59" t="s">
        <v>625</v>
      </c>
      <c r="S76" s="60">
        <v>4</v>
      </c>
      <c r="T76" s="330" t="s">
        <v>631</v>
      </c>
      <c r="U76" s="147">
        <v>81</v>
      </c>
      <c r="W76" s="59" t="s">
        <v>644</v>
      </c>
      <c r="X76" s="60">
        <v>4</v>
      </c>
      <c r="Y76" s="59" t="s">
        <v>649</v>
      </c>
      <c r="Z76">
        <v>12.5</v>
      </c>
    </row>
    <row r="77" spans="1:26" x14ac:dyDescent="0.25">
      <c r="A77" s="59"/>
      <c r="B77" s="13"/>
      <c r="C77" s="59"/>
      <c r="D77" s="59"/>
      <c r="E77" s="59"/>
      <c r="I77" s="20"/>
      <c r="R77" s="59" t="s">
        <v>626</v>
      </c>
      <c r="S77" s="60">
        <v>5</v>
      </c>
      <c r="T77" s="330" t="s">
        <v>630</v>
      </c>
      <c r="U77" s="147">
        <v>100</v>
      </c>
      <c r="W77" s="59" t="s">
        <v>813</v>
      </c>
      <c r="X77" s="60">
        <v>5</v>
      </c>
      <c r="Y77" s="59" t="s">
        <v>814</v>
      </c>
      <c r="Z77">
        <v>16.5</v>
      </c>
    </row>
    <row r="78" spans="1:26" x14ac:dyDescent="0.25">
      <c r="A78" s="59"/>
      <c r="B78" s="13"/>
      <c r="C78"/>
      <c r="D78" s="59">
        <f>Isw_min</f>
        <v>0.15</v>
      </c>
      <c r="E78" s="59"/>
      <c r="I78" s="20"/>
      <c r="R78" s="59" t="s">
        <v>627</v>
      </c>
      <c r="S78" s="60">
        <v>6</v>
      </c>
      <c r="T78" s="330" t="s">
        <v>629</v>
      </c>
      <c r="U78" s="147">
        <v>120</v>
      </c>
      <c r="W78" s="383" t="s">
        <v>647</v>
      </c>
    </row>
    <row r="79" spans="1:26" x14ac:dyDescent="0.25">
      <c r="A79" s="59"/>
      <c r="B79" s="13"/>
      <c r="C79" s="59"/>
      <c r="D79" s="59"/>
      <c r="E79" s="59"/>
      <c r="I79" s="20"/>
      <c r="R79" s="59" t="s">
        <v>628</v>
      </c>
      <c r="S79" s="60">
        <v>7</v>
      </c>
      <c r="T79" s="330" t="s">
        <v>635</v>
      </c>
      <c r="U79" s="147">
        <v>143</v>
      </c>
    </row>
    <row r="80" spans="1:26" ht="15.6" x14ac:dyDescent="0.35">
      <c r="A80" s="59"/>
      <c r="C80" s="59"/>
      <c r="E80" s="59"/>
      <c r="I80" s="20"/>
      <c r="K80" s="59" t="s">
        <v>321</v>
      </c>
      <c r="Q80" s="383" t="s">
        <v>460</v>
      </c>
    </row>
    <row r="81" spans="1:9" x14ac:dyDescent="0.25">
      <c r="A81" s="89" t="s">
        <v>695</v>
      </c>
      <c r="B81" s="34">
        <f>'LM(2)518x PSR flyback converter'!L7/1000000</f>
        <v>4.6999999999999997E-5</v>
      </c>
      <c r="C81" t="s">
        <v>11</v>
      </c>
      <c r="D81" s="59" t="s">
        <v>459</v>
      </c>
      <c r="I81" s="20"/>
    </row>
    <row r="82" spans="1:9" x14ac:dyDescent="0.25">
      <c r="A82" s="89" t="s">
        <v>677</v>
      </c>
      <c r="B82" s="111">
        <f>'LM(2)518x PSR flyback converter'!L11</f>
        <v>1000</v>
      </c>
      <c r="C82" t="s">
        <v>678</v>
      </c>
      <c r="D82" s="59"/>
      <c r="I82" s="20"/>
    </row>
    <row r="83" spans="1:9" x14ac:dyDescent="0.25">
      <c r="A83" s="89" t="s">
        <v>392</v>
      </c>
      <c r="B83" s="8">
        <f>'LM(2)518x PSR flyback converter'!L8/1000</f>
        <v>1</v>
      </c>
      <c r="C83" s="91" t="s">
        <v>45</v>
      </c>
      <c r="D83" s="59" t="s">
        <v>457</v>
      </c>
      <c r="I83" s="20"/>
    </row>
    <row r="84" spans="1:9" x14ac:dyDescent="0.25">
      <c r="A84" s="89" t="s">
        <v>455</v>
      </c>
      <c r="B84" s="8">
        <f>'LM(2)518x PSR flyback converter'!L9/1000</f>
        <v>1</v>
      </c>
      <c r="C84" s="91" t="s">
        <v>45</v>
      </c>
      <c r="D84" s="59" t="s">
        <v>458</v>
      </c>
      <c r="I84" s="20">
        <v>2</v>
      </c>
    </row>
    <row r="85" spans="1:9" x14ac:dyDescent="0.25">
      <c r="A85" s="89" t="s">
        <v>456</v>
      </c>
      <c r="B85" s="8">
        <f>'LM(2)518x PSR flyback converter'!L10/1000</f>
        <v>0.05</v>
      </c>
      <c r="C85" s="91" t="s">
        <v>45</v>
      </c>
      <c r="D85" s="59" t="s">
        <v>553</v>
      </c>
      <c r="E85" s="59"/>
      <c r="I85" s="20">
        <v>1</v>
      </c>
    </row>
    <row r="86" spans="1:9" x14ac:dyDescent="0.25">
      <c r="A86" s="89"/>
      <c r="C86"/>
      <c r="I86" s="20"/>
    </row>
    <row r="87" spans="1:9" ht="15.75" customHeight="1" x14ac:dyDescent="0.25">
      <c r="A87" s="59" t="s">
        <v>552</v>
      </c>
      <c r="B87" s="169">
        <v>100</v>
      </c>
      <c r="C87" s="59" t="s">
        <v>102</v>
      </c>
      <c r="D87" s="59"/>
      <c r="I87" s="20"/>
    </row>
    <row r="88" spans="1:9" x14ac:dyDescent="0.25">
      <c r="A88" s="89" t="s">
        <v>549</v>
      </c>
      <c r="B88" s="163">
        <f>Rdcr_pri*(1+0.0039*(B87-25))</f>
        <v>1.2925</v>
      </c>
      <c r="C88" s="91" t="s">
        <v>45</v>
      </c>
      <c r="I88" s="20"/>
    </row>
    <row r="89" spans="1:9" x14ac:dyDescent="0.25">
      <c r="A89" s="89" t="s">
        <v>550</v>
      </c>
      <c r="B89" s="163">
        <f>Rdcr_sec*(1+0.0039*(B87-25))</f>
        <v>1.2925</v>
      </c>
      <c r="C89" s="91" t="s">
        <v>45</v>
      </c>
      <c r="I89" s="20"/>
    </row>
    <row r="90" spans="1:9" x14ac:dyDescent="0.25">
      <c r="A90" s="89" t="s">
        <v>551</v>
      </c>
      <c r="B90" s="163">
        <f>Rdcr_sec2*(1+0.0039*(B87-25))</f>
        <v>6.4625000000000002E-2</v>
      </c>
      <c r="C90" s="91" t="s">
        <v>45</v>
      </c>
      <c r="I90" s="20"/>
    </row>
    <row r="91" spans="1:9" x14ac:dyDescent="0.25">
      <c r="A91" s="59" t="s">
        <v>805</v>
      </c>
      <c r="B91">
        <f>CHOOSE(VARIANT, 450, 375, 450, 375, 425)</f>
        <v>375</v>
      </c>
      <c r="C91" s="3" t="s">
        <v>32</v>
      </c>
      <c r="I91" s="20"/>
    </row>
    <row r="92" spans="1:9" x14ac:dyDescent="0.25">
      <c r="A92" t="s">
        <v>676</v>
      </c>
      <c r="B92" s="628">
        <f>(Vout+Vfwd1)*Nps*toff_max*0.000000001/Isw_min*1000000</f>
        <v>38.300000000000004</v>
      </c>
      <c r="C92" s="3" t="s">
        <v>806</v>
      </c>
      <c r="I92" s="20"/>
    </row>
    <row r="93" spans="1:9" ht="13.8" thickBot="1" x14ac:dyDescent="0.3">
      <c r="A93" s="146" t="s">
        <v>815</v>
      </c>
      <c r="B93" s="140">
        <f>CHOOSE(VARIANT, 2, 1, 2, 3, 5)</f>
        <v>1</v>
      </c>
      <c r="C93" s="62" t="s">
        <v>1</v>
      </c>
      <c r="D93" s="24"/>
      <c r="E93" s="24"/>
      <c r="F93" s="24"/>
      <c r="G93" s="24"/>
      <c r="H93" s="24"/>
      <c r="I93" s="25"/>
    </row>
    <row r="94" spans="1:9" x14ac:dyDescent="0.25">
      <c r="A94" s="3"/>
      <c r="B94" s="2"/>
      <c r="C94" s="2"/>
    </row>
    <row r="96" spans="1:9" ht="16.2" thickBot="1" x14ac:dyDescent="0.35">
      <c r="A96" s="39" t="s">
        <v>572</v>
      </c>
      <c r="D96" s="3"/>
    </row>
    <row r="97" spans="1:12" x14ac:dyDescent="0.25">
      <c r="A97" s="88" t="s">
        <v>164</v>
      </c>
      <c r="B97" s="361"/>
      <c r="C97" s="145" t="s">
        <v>1</v>
      </c>
      <c r="D97" s="61" t="s">
        <v>163</v>
      </c>
      <c r="E97" s="26"/>
      <c r="F97" s="26"/>
      <c r="G97" s="26"/>
      <c r="H97" s="26"/>
      <c r="I97" s="27"/>
      <c r="L97" s="5"/>
    </row>
    <row r="98" spans="1:12" x14ac:dyDescent="0.25">
      <c r="A98" s="89" t="s">
        <v>165</v>
      </c>
      <c r="B98" s="362"/>
      <c r="C98" s="59" t="s">
        <v>1</v>
      </c>
      <c r="E98" s="59"/>
      <c r="I98" s="20"/>
      <c r="L98" s="5"/>
    </row>
    <row r="99" spans="1:12" x14ac:dyDescent="0.25">
      <c r="A99" s="89" t="s">
        <v>166</v>
      </c>
      <c r="B99" s="362"/>
      <c r="C99" s="59" t="s">
        <v>1</v>
      </c>
      <c r="E99" s="59"/>
      <c r="I99" s="20"/>
      <c r="L99" s="5"/>
    </row>
    <row r="100" spans="1:12" x14ac:dyDescent="0.25">
      <c r="A100" s="89"/>
      <c r="B100" s="147"/>
      <c r="C100" s="59"/>
      <c r="E100" s="59"/>
      <c r="I100" s="20"/>
      <c r="L100" s="5"/>
    </row>
    <row r="101" spans="1:12" x14ac:dyDescent="0.25">
      <c r="A101" s="89" t="s">
        <v>174</v>
      </c>
      <c r="B101" s="479">
        <f>Vout_ripple</f>
        <v>150</v>
      </c>
      <c r="C101" s="59" t="s">
        <v>149</v>
      </c>
      <c r="D101" s="59" t="s">
        <v>608</v>
      </c>
      <c r="I101" s="20"/>
      <c r="L101" s="5"/>
    </row>
    <row r="102" spans="1:12" x14ac:dyDescent="0.25">
      <c r="A102" s="434" t="s">
        <v>12</v>
      </c>
      <c r="B102" s="492">
        <f>MAX(4.7, CHOOSE(MODE, 'Calculations - Single'!BA212, 'Calculations - Dual'!AW105))</f>
        <v>4.7</v>
      </c>
      <c r="C102" s="9" t="s">
        <v>97</v>
      </c>
      <c r="D102" s="59" t="s">
        <v>607</v>
      </c>
      <c r="E102" s="59"/>
      <c r="I102" s="20"/>
    </row>
    <row r="103" spans="1:12" x14ac:dyDescent="0.25">
      <c r="A103" s="89" t="s">
        <v>14</v>
      </c>
      <c r="B103" s="515">
        <f>'LM(2)518x PSR flyback converter'!E22</f>
        <v>10</v>
      </c>
      <c r="C103" s="9" t="s">
        <v>97</v>
      </c>
      <c r="D103" s="59" t="s">
        <v>167</v>
      </c>
      <c r="I103" s="20"/>
    </row>
    <row r="104" spans="1:12" x14ac:dyDescent="0.25">
      <c r="A104" s="176" t="s">
        <v>181</v>
      </c>
      <c r="B104" s="480">
        <f>(Vripple1_spec-Iout*B106/Cout*1000)/Iout</f>
        <v>1357.4567116092248</v>
      </c>
      <c r="C104" s="91" t="s">
        <v>258</v>
      </c>
      <c r="D104" s="59" t="s">
        <v>107</v>
      </c>
      <c r="I104" s="20"/>
    </row>
    <row r="105" spans="1:12" x14ac:dyDescent="0.25">
      <c r="A105" s="89" t="s">
        <v>54</v>
      </c>
      <c r="B105" s="171">
        <f>'LM(2)518x PSR flyback converter'!E23</f>
        <v>3</v>
      </c>
      <c r="C105" s="91" t="s">
        <v>258</v>
      </c>
      <c r="D105" s="59" t="s">
        <v>108</v>
      </c>
      <c r="I105" s="20"/>
    </row>
    <row r="106" spans="1:12" x14ac:dyDescent="0.25">
      <c r="A106" s="89" t="s">
        <v>445</v>
      </c>
      <c r="B106" s="170">
        <f>CHOOSE(MODE, 'Calculations - Single'!AT105, 'Calculations - Dual'!AR105)</f>
        <v>1.4254328839077528</v>
      </c>
      <c r="C106" s="9" t="s">
        <v>247</v>
      </c>
      <c r="D106" s="59"/>
      <c r="I106" s="20"/>
    </row>
    <row r="107" spans="1:12" x14ac:dyDescent="0.25">
      <c r="A107" s="29" t="s">
        <v>444</v>
      </c>
      <c r="B107" s="626">
        <f>'Calculations - Single'!BB105</f>
        <v>14.803918696296293</v>
      </c>
      <c r="C107" s="59" t="s">
        <v>450</v>
      </c>
      <c r="D107" s="59" t="s">
        <v>610</v>
      </c>
      <c r="H107" s="162" t="s">
        <v>575</v>
      </c>
      <c r="I107" s="20"/>
    </row>
    <row r="108" spans="1:12" x14ac:dyDescent="0.25">
      <c r="A108" s="29"/>
      <c r="B108" s="170"/>
      <c r="C108" s="59"/>
      <c r="D108" s="59"/>
      <c r="I108" s="20"/>
    </row>
    <row r="109" spans="1:12" x14ac:dyDescent="0.25">
      <c r="A109" s="29"/>
      <c r="B109" s="170"/>
      <c r="C109" s="59"/>
      <c r="D109" s="59"/>
      <c r="I109" s="20"/>
    </row>
    <row r="110" spans="1:12" ht="15.6" x14ac:dyDescent="0.3">
      <c r="A110" s="554" t="s">
        <v>573</v>
      </c>
      <c r="B110" s="170"/>
      <c r="C110" s="9"/>
      <c r="D110" s="59"/>
      <c r="I110" s="20"/>
    </row>
    <row r="111" spans="1:12" x14ac:dyDescent="0.25">
      <c r="A111" s="89" t="s">
        <v>554</v>
      </c>
      <c r="B111" s="479">
        <f>Vout_ripple2</f>
        <v>160</v>
      </c>
      <c r="C111" s="59" t="s">
        <v>149</v>
      </c>
      <c r="D111" s="59" t="s">
        <v>611</v>
      </c>
      <c r="I111" s="20"/>
    </row>
    <row r="112" spans="1:12" x14ac:dyDescent="0.25">
      <c r="A112" s="434" t="s">
        <v>556</v>
      </c>
      <c r="B112" s="170">
        <f>MAX(4.7, 'Calculations - Dual'!AY105)</f>
        <v>4.7</v>
      </c>
      <c r="C112" s="9" t="s">
        <v>97</v>
      </c>
      <c r="D112" s="59" t="s">
        <v>607</v>
      </c>
      <c r="I112" s="20"/>
    </row>
    <row r="113" spans="1:9" x14ac:dyDescent="0.25">
      <c r="A113" s="89" t="s">
        <v>555</v>
      </c>
      <c r="B113" s="515">
        <f>'LM(2)518x PSR flyback converter'!L22</f>
        <v>22</v>
      </c>
      <c r="C113" s="9" t="s">
        <v>97</v>
      </c>
      <c r="D113" s="59" t="s">
        <v>167</v>
      </c>
      <c r="I113" s="20"/>
    </row>
    <row r="114" spans="1:9" x14ac:dyDescent="0.25">
      <c r="A114" s="176" t="s">
        <v>557</v>
      </c>
      <c r="B114" s="480">
        <f>(Vout_ripple2-Iout2*B116/Cout2*1000)/Iout2</f>
        <v>1512.5626852601226</v>
      </c>
      <c r="C114" s="91" t="s">
        <v>258</v>
      </c>
      <c r="D114" s="59" t="s">
        <v>107</v>
      </c>
      <c r="H114" s="162" t="s">
        <v>574</v>
      </c>
      <c r="I114" s="20"/>
    </row>
    <row r="115" spans="1:9" x14ac:dyDescent="0.25">
      <c r="A115" s="89" t="s">
        <v>558</v>
      </c>
      <c r="B115" s="171">
        <f>'LM(2)518x PSR flyback converter'!L23</f>
        <v>2</v>
      </c>
      <c r="C115" s="91" t="s">
        <v>258</v>
      </c>
      <c r="D115" s="59" t="s">
        <v>108</v>
      </c>
      <c r="I115" s="20"/>
    </row>
    <row r="116" spans="1:9" x14ac:dyDescent="0.25">
      <c r="A116" s="89" t="s">
        <v>445</v>
      </c>
      <c r="B116" s="170">
        <f>'Calculations - Dual'!AS105</f>
        <v>1.9236209242773019</v>
      </c>
      <c r="C116" s="9" t="s">
        <v>247</v>
      </c>
      <c r="D116" s="59"/>
      <c r="H116" s="162" t="s">
        <v>574</v>
      </c>
      <c r="I116" s="20"/>
    </row>
    <row r="117" spans="1:9" x14ac:dyDescent="0.25">
      <c r="A117" s="29" t="s">
        <v>444</v>
      </c>
      <c r="B117" s="513">
        <f>'Calculations - Dual'!AZ105</f>
        <v>7.2138541457963932</v>
      </c>
      <c r="C117" s="59" t="s">
        <v>450</v>
      </c>
      <c r="D117" s="59" t="s">
        <v>609</v>
      </c>
      <c r="I117" s="20"/>
    </row>
    <row r="118" spans="1:9" x14ac:dyDescent="0.25">
      <c r="A118" s="3"/>
      <c r="B118" s="170"/>
      <c r="C118" s="59"/>
      <c r="D118" s="59"/>
      <c r="I118" s="20"/>
    </row>
    <row r="119" spans="1:9" ht="13.8" thickBot="1" x14ac:dyDescent="0.3">
      <c r="A119" s="24"/>
      <c r="B119" s="24"/>
      <c r="C119" s="24"/>
      <c r="D119" s="24"/>
      <c r="E119" s="24"/>
      <c r="F119" s="24"/>
      <c r="G119" s="24"/>
      <c r="H119" s="24"/>
      <c r="I119" s="25"/>
    </row>
    <row r="121" spans="1:9" ht="13.8" thickBot="1" x14ac:dyDescent="0.3"/>
    <row r="122" spans="1:9" ht="15.6" x14ac:dyDescent="0.3">
      <c r="A122" s="45" t="s">
        <v>55</v>
      </c>
      <c r="B122" s="46"/>
      <c r="C122" s="148"/>
      <c r="D122" s="46"/>
      <c r="E122" s="46"/>
      <c r="F122" s="46"/>
      <c r="G122" s="46"/>
      <c r="H122" s="46"/>
      <c r="I122" s="47"/>
    </row>
    <row r="123" spans="1:9" x14ac:dyDescent="0.25">
      <c r="A123" s="482" t="s">
        <v>518</v>
      </c>
      <c r="B123" s="485">
        <f>0.05*VIN_nom</f>
        <v>0.75</v>
      </c>
      <c r="C123" s="59" t="s">
        <v>451</v>
      </c>
      <c r="D123" s="59" t="s">
        <v>446</v>
      </c>
      <c r="I123" s="49"/>
    </row>
    <row r="124" spans="1:9" x14ac:dyDescent="0.25">
      <c r="A124" s="48"/>
      <c r="C124"/>
      <c r="I124" s="49"/>
    </row>
    <row r="125" spans="1:9" x14ac:dyDescent="0.25">
      <c r="A125" s="50" t="s">
        <v>58</v>
      </c>
      <c r="B125" s="363"/>
      <c r="C125" s="9" t="s">
        <v>30</v>
      </c>
      <c r="I125" s="49"/>
    </row>
    <row r="126" spans="1:9" x14ac:dyDescent="0.25">
      <c r="A126" s="50" t="s">
        <v>98</v>
      </c>
      <c r="B126" s="165">
        <f>'Calculations - Single'!BC105</f>
        <v>0.21210518122001545</v>
      </c>
      <c r="C126" s="9" t="s">
        <v>97</v>
      </c>
      <c r="I126" s="49"/>
    </row>
    <row r="127" spans="1:9" x14ac:dyDescent="0.25">
      <c r="A127" s="176" t="s">
        <v>180</v>
      </c>
      <c r="B127" s="518">
        <f>MAX(2.2,Cinmin)</f>
        <v>2.2000000000000002</v>
      </c>
      <c r="C127" s="9" t="s">
        <v>97</v>
      </c>
      <c r="I127" s="49"/>
    </row>
    <row r="128" spans="1:9" x14ac:dyDescent="0.25">
      <c r="A128" s="50" t="s">
        <v>28</v>
      </c>
      <c r="B128" s="483">
        <f>'LM(2)518x PSR flyback converter'!E18</f>
        <v>10</v>
      </c>
      <c r="C128" s="9" t="s">
        <v>97</v>
      </c>
      <c r="D128" t="s">
        <v>60</v>
      </c>
      <c r="I128" s="49"/>
    </row>
    <row r="129" spans="1:9" x14ac:dyDescent="0.25">
      <c r="A129" s="50"/>
      <c r="B129" s="481"/>
      <c r="C129" s="43"/>
      <c r="I129" s="49"/>
    </row>
    <row r="130" spans="1:9" x14ac:dyDescent="0.25">
      <c r="A130" s="50" t="s">
        <v>99</v>
      </c>
      <c r="B130" s="362">
        <f>(Vinripple1-B133*B135/Cin)/B134</f>
        <v>1.6136538649982144</v>
      </c>
      <c r="C130" s="91" t="s">
        <v>45</v>
      </c>
      <c r="I130" s="49"/>
    </row>
    <row r="131" spans="1:9" x14ac:dyDescent="0.25">
      <c r="A131" s="50" t="s">
        <v>37</v>
      </c>
      <c r="B131" s="44">
        <f>'LM(2)518x PSR flyback converter'!E19/1000</f>
        <v>3.0000000000000001E-3</v>
      </c>
      <c r="C131" s="91" t="s">
        <v>45</v>
      </c>
      <c r="D131" s="59" t="s">
        <v>109</v>
      </c>
      <c r="I131" s="49"/>
    </row>
    <row r="132" spans="1:9" ht="13.8" x14ac:dyDescent="0.3">
      <c r="A132" s="176" t="s">
        <v>182</v>
      </c>
      <c r="B132" s="315">
        <f>'LM(2)518x PSR flyback converter'!E19</f>
        <v>3</v>
      </c>
      <c r="C132" s="12" t="s">
        <v>161</v>
      </c>
      <c r="D132" s="59"/>
      <c r="I132" s="49"/>
    </row>
    <row r="133" spans="1:9" x14ac:dyDescent="0.25">
      <c r="A133" s="176" t="s">
        <v>448</v>
      </c>
      <c r="B133" s="368">
        <f>Pout_total/VIN_nom/Efficiency</f>
        <v>0.11111111111111112</v>
      </c>
      <c r="C133" s="59" t="s">
        <v>1</v>
      </c>
      <c r="D133" s="59"/>
      <c r="I133" s="49"/>
    </row>
    <row r="134" spans="1:9" x14ac:dyDescent="0.25">
      <c r="A134" s="176" t="s">
        <v>452</v>
      </c>
      <c r="B134" s="368">
        <f>CHOOSE(MODE, 'Calculations - Single'!AJ105, 'Calculations - Dual'!$AI$105)</f>
        <v>0.45492538848119773</v>
      </c>
      <c r="C134" s="59" t="s">
        <v>1</v>
      </c>
      <c r="D134" s="59"/>
      <c r="I134" s="49"/>
    </row>
    <row r="135" spans="1:9" x14ac:dyDescent="0.25">
      <c r="A135" s="176" t="s">
        <v>449</v>
      </c>
      <c r="B135" s="368">
        <f>CHOOSE(MODE, 'Calculations - Single'!AU105, 'Calculations - Dual'!$AT$105)</f>
        <v>1.4317099732351044</v>
      </c>
      <c r="C135" s="9" t="s">
        <v>247</v>
      </c>
      <c r="D135" s="59"/>
      <c r="I135" s="49"/>
    </row>
    <row r="136" spans="1:9" x14ac:dyDescent="0.25">
      <c r="A136" s="176" t="s">
        <v>447</v>
      </c>
      <c r="B136" s="165">
        <f>CHOOSE(MODE, 'Calculations - Single'!BD105, 'Calculations - Dual'!$BB$105)</f>
        <v>16.241221924834498</v>
      </c>
      <c r="C136" s="9" t="s">
        <v>450</v>
      </c>
      <c r="D136" s="59" t="s">
        <v>453</v>
      </c>
      <c r="E136" s="484"/>
      <c r="F136" s="9"/>
      <c r="I136" s="49"/>
    </row>
    <row r="137" spans="1:9" ht="13.8" thickBot="1" x14ac:dyDescent="0.3">
      <c r="A137" s="51"/>
      <c r="B137" s="52"/>
      <c r="C137" s="52"/>
      <c r="D137" s="52"/>
      <c r="E137" s="53"/>
      <c r="F137" s="53"/>
      <c r="G137" s="53"/>
      <c r="H137" s="53"/>
      <c r="I137" s="54"/>
    </row>
    <row r="139" spans="1:9" ht="16.2" thickBot="1" x14ac:dyDescent="0.35">
      <c r="A139" s="39" t="s">
        <v>62</v>
      </c>
    </row>
    <row r="140" spans="1:9" x14ac:dyDescent="0.25">
      <c r="A140" s="40" t="s">
        <v>64</v>
      </c>
      <c r="B140" s="7">
        <f>'LM(2)518x PSR flyback converter'!E30/1000</f>
        <v>0.02</v>
      </c>
      <c r="C140" s="26" t="s">
        <v>51</v>
      </c>
      <c r="D140" s="61" t="s">
        <v>176</v>
      </c>
      <c r="E140" s="26"/>
      <c r="F140" s="26"/>
      <c r="G140" s="26"/>
      <c r="H140" s="26"/>
      <c r="I140" s="27"/>
    </row>
    <row r="141" spans="1:9" x14ac:dyDescent="0.25">
      <c r="A141" s="19" t="s">
        <v>65</v>
      </c>
      <c r="B141" s="173">
        <v>5.0000000000000004E-6</v>
      </c>
      <c r="C141" t="s">
        <v>1</v>
      </c>
      <c r="D141" s="59" t="s">
        <v>307</v>
      </c>
      <c r="I141" s="20"/>
    </row>
    <row r="142" spans="1:9" x14ac:dyDescent="0.25">
      <c r="A142" s="19" t="s">
        <v>66</v>
      </c>
      <c r="B142" s="173">
        <f>0.000005*Tss/1</f>
        <v>1.0000000000000001E-7</v>
      </c>
      <c r="C142" t="s">
        <v>13</v>
      </c>
      <c r="D142" s="59" t="s">
        <v>309</v>
      </c>
      <c r="I142" s="20"/>
    </row>
    <row r="143" spans="1:9" ht="13.8" thickBot="1" x14ac:dyDescent="0.3">
      <c r="A143" s="23" t="s">
        <v>72</v>
      </c>
      <c r="B143" s="174">
        <f>'Standard Value Calculator'!B4</f>
        <v>9.9999999999999995E-8</v>
      </c>
      <c r="C143" s="24" t="s">
        <v>13</v>
      </c>
      <c r="D143" s="62" t="s">
        <v>310</v>
      </c>
      <c r="E143" s="24"/>
      <c r="F143" s="24"/>
      <c r="G143" s="24"/>
      <c r="H143" s="24"/>
      <c r="I143" s="25"/>
    </row>
    <row r="145" spans="1:9" ht="16.2" thickBot="1" x14ac:dyDescent="0.35">
      <c r="A145" s="39" t="s">
        <v>569</v>
      </c>
    </row>
    <row r="146" spans="1:9" ht="12.75" customHeight="1" x14ac:dyDescent="0.25">
      <c r="A146" s="88"/>
      <c r="B146" s="41"/>
      <c r="C146" s="136"/>
      <c r="D146" s="61"/>
      <c r="E146" s="26"/>
      <c r="F146" s="26"/>
      <c r="G146" s="26"/>
      <c r="H146" s="26"/>
      <c r="I146" s="27"/>
    </row>
    <row r="147" spans="1:9" ht="12.75" customHeight="1" x14ac:dyDescent="0.25">
      <c r="A147" s="89" t="s">
        <v>111</v>
      </c>
      <c r="B147" s="166">
        <v>1.5</v>
      </c>
      <c r="C147" s="59" t="s">
        <v>0</v>
      </c>
      <c r="D147" s="59"/>
      <c r="I147" s="20"/>
    </row>
    <row r="148" spans="1:9" ht="12.75" customHeight="1" x14ac:dyDescent="0.25">
      <c r="A148" s="89" t="s">
        <v>112</v>
      </c>
      <c r="B148" s="166">
        <v>1.45</v>
      </c>
      <c r="C148" s="59" t="s">
        <v>0</v>
      </c>
      <c r="D148" s="59"/>
      <c r="I148" s="20"/>
    </row>
    <row r="149" spans="1:9" ht="12.75" customHeight="1" x14ac:dyDescent="0.25">
      <c r="A149" s="89" t="s">
        <v>148</v>
      </c>
      <c r="B149" s="11">
        <f>B147-B148</f>
        <v>5.0000000000000044E-2</v>
      </c>
      <c r="C149" s="59" t="s">
        <v>0</v>
      </c>
      <c r="D149" s="59"/>
      <c r="I149" s="20"/>
    </row>
    <row r="150" spans="1:9" ht="12.75" customHeight="1" x14ac:dyDescent="0.25">
      <c r="A150" s="89" t="s">
        <v>377</v>
      </c>
      <c r="B150">
        <v>0</v>
      </c>
      <c r="C150" s="59" t="s">
        <v>1</v>
      </c>
      <c r="D150" s="59"/>
      <c r="I150" s="20"/>
    </row>
    <row r="151" spans="1:9" ht="12.75" customHeight="1" x14ac:dyDescent="0.25">
      <c r="A151" s="89" t="s">
        <v>376</v>
      </c>
      <c r="B151" s="454">
        <v>5.0000000000000001E-3</v>
      </c>
      <c r="C151" s="59" t="s">
        <v>30</v>
      </c>
      <c r="D151" s="59"/>
      <c r="I151" s="20"/>
    </row>
    <row r="152" spans="1:9" ht="12.75" customHeight="1" x14ac:dyDescent="0.25">
      <c r="A152" s="89" t="s">
        <v>375</v>
      </c>
      <c r="B152" s="455">
        <f>Iuvlo2-Iuvlo1</f>
        <v>5.0000000000000001E-3</v>
      </c>
      <c r="C152" s="59" t="s">
        <v>30</v>
      </c>
      <c r="D152" s="59"/>
      <c r="I152" s="20"/>
    </row>
    <row r="153" spans="1:9" ht="12.75" customHeight="1" x14ac:dyDescent="0.25">
      <c r="A153" s="89"/>
      <c r="B153" s="11"/>
      <c r="C153" s="138"/>
      <c r="D153" s="59"/>
      <c r="I153" s="20"/>
    </row>
    <row r="154" spans="1:9" ht="12.75" customHeight="1" x14ac:dyDescent="0.35">
      <c r="A154" s="89" t="s">
        <v>110</v>
      </c>
      <c r="B154" s="164">
        <f>'LM(2)518x PSR flyback converter'!E36</f>
        <v>8</v>
      </c>
      <c r="C154" s="59" t="s">
        <v>0</v>
      </c>
      <c r="I154" s="20"/>
    </row>
    <row r="155" spans="1:9" ht="12.75" customHeight="1" x14ac:dyDescent="0.35">
      <c r="A155" s="89" t="s">
        <v>294</v>
      </c>
      <c r="B155" s="164">
        <f>'LM(2)518x PSR flyback converter'!E37</f>
        <v>7.5</v>
      </c>
      <c r="C155" s="59" t="s">
        <v>0</v>
      </c>
      <c r="I155" s="20"/>
    </row>
    <row r="156" spans="1:9" ht="12.75" customHeight="1" x14ac:dyDescent="0.25">
      <c r="A156" s="89"/>
      <c r="B156" s="11"/>
      <c r="C156" s="59"/>
      <c r="I156" s="20"/>
    </row>
    <row r="157" spans="1:9" ht="12.75" customHeight="1" x14ac:dyDescent="0.35">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5">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3">
      <c r="A159" s="89"/>
      <c r="B159" s="90"/>
      <c r="C159" s="12"/>
      <c r="D159" s="11"/>
      <c r="E159" s="12"/>
      <c r="F159" s="11"/>
      <c r="G159" s="11"/>
      <c r="I159" s="20"/>
    </row>
    <row r="160" spans="1:9" ht="12.75" customHeight="1" x14ac:dyDescent="0.35">
      <c r="A160" s="89" t="s">
        <v>114</v>
      </c>
      <c r="B160" s="514">
        <f>(D157+D158)/D158*Vuvlo_on</f>
        <v>8.0046728971962615</v>
      </c>
      <c r="C160" s="3" t="s">
        <v>0</v>
      </c>
      <c r="F160" s="12"/>
      <c r="I160" s="20"/>
    </row>
    <row r="161" spans="1:9" ht="12.75" customHeight="1" x14ac:dyDescent="0.35">
      <c r="A161" s="89" t="s">
        <v>115</v>
      </c>
      <c r="B161" s="514">
        <f>(D157+D158)/D158*Vuvlo_off-Iuvlo2*D157</f>
        <v>7.5058504672897195</v>
      </c>
      <c r="C161" s="3" t="s">
        <v>0</v>
      </c>
      <c r="F161" s="12"/>
      <c r="I161" s="20"/>
    </row>
    <row r="162" spans="1:9" ht="12.75" customHeight="1" thickBot="1" x14ac:dyDescent="0.3">
      <c r="A162" s="23"/>
      <c r="B162" s="32"/>
      <c r="C162" s="137"/>
      <c r="D162" s="24"/>
      <c r="E162" s="24"/>
      <c r="F162" s="24"/>
      <c r="G162" s="24"/>
      <c r="H162" s="24"/>
      <c r="I162" s="25"/>
    </row>
    <row r="163" spans="1:9" x14ac:dyDescent="0.25">
      <c r="B163" s="11"/>
      <c r="C163" s="138"/>
    </row>
    <row r="164" spans="1:9" ht="16.2" thickBot="1" x14ac:dyDescent="0.35">
      <c r="A164" s="39" t="s">
        <v>529</v>
      </c>
    </row>
    <row r="165" spans="1:9" x14ac:dyDescent="0.25">
      <c r="A165" s="155" t="s">
        <v>16</v>
      </c>
      <c r="B165" s="156">
        <v>3.1415926500000002</v>
      </c>
      <c r="C165" s="157"/>
      <c r="D165" s="158" t="s">
        <v>170</v>
      </c>
      <c r="E165" s="26"/>
      <c r="F165" s="26"/>
      <c r="G165" s="26"/>
      <c r="H165" s="26"/>
      <c r="I165" s="27"/>
    </row>
    <row r="166" spans="1:9" x14ac:dyDescent="0.25">
      <c r="A166" s="59" t="s">
        <v>185</v>
      </c>
      <c r="B166" s="179"/>
      <c r="C166" s="159" t="s">
        <v>184</v>
      </c>
      <c r="D166" s="161" t="s">
        <v>561</v>
      </c>
      <c r="I166" s="20"/>
    </row>
    <row r="167" spans="1:9" x14ac:dyDescent="0.25">
      <c r="A167" s="59" t="s">
        <v>186</v>
      </c>
      <c r="B167" s="179"/>
      <c r="C167" s="159" t="s">
        <v>184</v>
      </c>
      <c r="D167" s="161"/>
      <c r="I167" s="20"/>
    </row>
    <row r="168" spans="1:9" x14ac:dyDescent="0.25">
      <c r="C168"/>
      <c r="I168" s="20"/>
    </row>
    <row r="169" spans="1:9" ht="13.8" x14ac:dyDescent="0.3">
      <c r="A169" s="89" t="s">
        <v>393</v>
      </c>
      <c r="B169" s="149">
        <f>(Vout+Vfwd1)*Nps*10</f>
        <v>153.19999999999999</v>
      </c>
      <c r="C169" s="12" t="s">
        <v>113</v>
      </c>
      <c r="D169" s="59" t="s">
        <v>531</v>
      </c>
      <c r="I169" s="20">
        <v>1</v>
      </c>
    </row>
    <row r="170" spans="1:9" ht="13.8" x14ac:dyDescent="0.3">
      <c r="A170" s="29" t="s">
        <v>530</v>
      </c>
      <c r="B170" s="154">
        <f>Rfb/1000</f>
        <v>75</v>
      </c>
      <c r="C170" s="12" t="s">
        <v>113</v>
      </c>
      <c r="D170" s="59" t="s">
        <v>528</v>
      </c>
      <c r="I170" s="20"/>
    </row>
    <row r="171" spans="1:9" ht="13.8" x14ac:dyDescent="0.3">
      <c r="A171" s="89" t="s">
        <v>53</v>
      </c>
      <c r="B171" s="31">
        <f>'Standard Value Calculator'!J10/1000</f>
        <v>75</v>
      </c>
      <c r="C171" s="12" t="s">
        <v>113</v>
      </c>
      <c r="D171" s="59" t="s">
        <v>361</v>
      </c>
      <c r="I171" s="20"/>
    </row>
    <row r="172" spans="1:9" ht="13.8" x14ac:dyDescent="0.3">
      <c r="A172" s="59"/>
      <c r="C172" s="12"/>
      <c r="D172" s="59"/>
      <c r="I172" s="20"/>
    </row>
    <row r="173" spans="1:9" x14ac:dyDescent="0.25">
      <c r="A173" s="59" t="s">
        <v>532</v>
      </c>
      <c r="B173" s="465">
        <f>'LM(2)518x PSR flyback converter'!E33</f>
        <v>-1.5</v>
      </c>
      <c r="C173" s="59" t="s">
        <v>386</v>
      </c>
      <c r="D173" s="59"/>
      <c r="I173" s="20"/>
    </row>
    <row r="174" spans="1:9" ht="15.6" x14ac:dyDescent="0.35">
      <c r="A174" s="19" t="s">
        <v>527</v>
      </c>
      <c r="B174" s="317">
        <f>3*B170/Nps/ABS(Diode_TC)*1000</f>
        <v>150000</v>
      </c>
      <c r="C174" s="12" t="s">
        <v>136</v>
      </c>
      <c r="D174" s="59"/>
      <c r="I174" s="20"/>
    </row>
    <row r="175" spans="1:9" ht="13.8" x14ac:dyDescent="0.3">
      <c r="A175" t="s">
        <v>533</v>
      </c>
      <c r="B175" s="147">
        <f>'Standard Value Calculator'!J9/1000</f>
        <v>150</v>
      </c>
      <c r="C175" s="12" t="s">
        <v>113</v>
      </c>
      <c r="D175" s="59"/>
      <c r="I175" s="20"/>
    </row>
    <row r="176" spans="1:9" ht="13.8" thickBot="1" x14ac:dyDescent="0.3">
      <c r="A176" s="160"/>
      <c r="B176" s="160"/>
      <c r="C176" s="33"/>
      <c r="D176" s="24"/>
      <c r="E176" s="33"/>
      <c r="F176" s="24"/>
      <c r="G176" s="24"/>
      <c r="H176" s="24"/>
      <c r="I176" s="25"/>
    </row>
    <row r="177" spans="1:9" x14ac:dyDescent="0.25">
      <c r="A177" s="2"/>
      <c r="B177" s="13"/>
      <c r="C177" s="13"/>
      <c r="E177" s="13"/>
    </row>
    <row r="178" spans="1:9" x14ac:dyDescent="0.25">
      <c r="A178" s="2"/>
      <c r="B178" s="13"/>
      <c r="C178" s="13"/>
      <c r="E178" s="13"/>
    </row>
    <row r="179" spans="1:9" ht="16.2" thickBot="1" x14ac:dyDescent="0.35">
      <c r="A179" s="42" t="s">
        <v>83</v>
      </c>
    </row>
    <row r="180" spans="1:9" x14ac:dyDescent="0.25">
      <c r="A180" s="40"/>
      <c r="B180" s="26"/>
      <c r="C180" s="139"/>
      <c r="D180" s="26"/>
      <c r="E180" s="26"/>
      <c r="F180" s="26"/>
      <c r="G180" s="26"/>
      <c r="H180" s="26"/>
      <c r="I180" s="27"/>
    </row>
    <row r="181" spans="1:9" x14ac:dyDescent="0.25">
      <c r="A181" s="29" t="s">
        <v>26</v>
      </c>
      <c r="I181" s="20"/>
    </row>
    <row r="182" spans="1:9" x14ac:dyDescent="0.25">
      <c r="A182" s="19" t="s">
        <v>36</v>
      </c>
      <c r="B182" s="111">
        <f>'LM(2)518x PSR flyback converter'!E45</f>
        <v>55</v>
      </c>
      <c r="C182" s="59" t="s">
        <v>102</v>
      </c>
      <c r="D182" t="s">
        <v>40</v>
      </c>
      <c r="I182" s="20"/>
    </row>
    <row r="183" spans="1:9" x14ac:dyDescent="0.25">
      <c r="A183" s="29" t="s">
        <v>29</v>
      </c>
      <c r="C183"/>
      <c r="I183" s="20"/>
    </row>
    <row r="184" spans="1:9" x14ac:dyDescent="0.25">
      <c r="A184" s="19" t="s">
        <v>35</v>
      </c>
      <c r="B184" s="22">
        <f>4000/1000000</f>
        <v>4.0000000000000001E-3</v>
      </c>
      <c r="C184" s="59" t="s">
        <v>138</v>
      </c>
      <c r="D184" s="59" t="s">
        <v>562</v>
      </c>
      <c r="I184" s="20"/>
    </row>
    <row r="185" spans="1:9" ht="15.6" x14ac:dyDescent="0.35">
      <c r="A185" s="89" t="s">
        <v>177</v>
      </c>
      <c r="B185" s="22">
        <v>20</v>
      </c>
      <c r="C185" s="59" t="s">
        <v>84</v>
      </c>
      <c r="D185" s="59" t="s">
        <v>563</v>
      </c>
      <c r="I185" s="20"/>
    </row>
    <row r="186" spans="1:9" x14ac:dyDescent="0.25">
      <c r="A186" s="19" t="s">
        <v>37</v>
      </c>
      <c r="B186" s="8">
        <f>RCinEsr</f>
        <v>3.0000000000000001E-3</v>
      </c>
      <c r="C186" s="91" t="s">
        <v>45</v>
      </c>
      <c r="D186" s="59" t="s">
        <v>178</v>
      </c>
      <c r="I186" s="20"/>
    </row>
    <row r="187" spans="1:9" x14ac:dyDescent="0.25">
      <c r="A187" s="19"/>
      <c r="B187" s="8"/>
      <c r="C187" s="91"/>
      <c r="D187" s="59"/>
      <c r="I187" s="20"/>
    </row>
    <row r="188" spans="1:9" x14ac:dyDescent="0.25">
      <c r="A188" s="28" t="s">
        <v>52</v>
      </c>
      <c r="C188"/>
      <c r="I188" s="20"/>
    </row>
    <row r="189" spans="1:9" x14ac:dyDescent="0.25">
      <c r="A189" s="89" t="s">
        <v>284</v>
      </c>
      <c r="B189" s="22">
        <f>Vdd</f>
        <v>5</v>
      </c>
      <c r="C189" t="s">
        <v>0</v>
      </c>
      <c r="D189" s="162"/>
      <c r="I189" s="20"/>
    </row>
    <row r="190" spans="1:9" x14ac:dyDescent="0.25">
      <c r="A190" s="19" t="s">
        <v>49</v>
      </c>
      <c r="B190" s="30">
        <f>IQ</f>
        <v>2.9E-4</v>
      </c>
      <c r="C190" t="s">
        <v>1</v>
      </c>
      <c r="D190" t="s">
        <v>50</v>
      </c>
      <c r="I190" s="20"/>
    </row>
    <row r="191" spans="1:9" x14ac:dyDescent="0.25">
      <c r="A191" s="19"/>
      <c r="C191"/>
      <c r="I191" s="20"/>
    </row>
    <row r="192" spans="1:9" x14ac:dyDescent="0.25">
      <c r="A192" s="29" t="s">
        <v>172</v>
      </c>
      <c r="B192" s="3" t="s">
        <v>6</v>
      </c>
      <c r="C192" s="3" t="s">
        <v>33</v>
      </c>
      <c r="I192" s="20"/>
    </row>
    <row r="193" spans="1:9" x14ac:dyDescent="0.25">
      <c r="A193" s="21" t="s">
        <v>44</v>
      </c>
      <c r="B193" s="4"/>
      <c r="C193" s="4" t="s">
        <v>45</v>
      </c>
      <c r="I193" s="20"/>
    </row>
    <row r="194" spans="1:9" x14ac:dyDescent="0.25">
      <c r="A194" s="21" t="s">
        <v>46</v>
      </c>
      <c r="B194" s="9">
        <v>0</v>
      </c>
      <c r="C194" s="59" t="s">
        <v>102</v>
      </c>
      <c r="I194" s="20"/>
    </row>
    <row r="195" spans="1:9" x14ac:dyDescent="0.25">
      <c r="A195" s="21" t="s">
        <v>87</v>
      </c>
      <c r="B195" s="9" t="e">
        <v>#NAME?</v>
      </c>
      <c r="C195" t="s">
        <v>1</v>
      </c>
      <c r="I195" s="20"/>
    </row>
    <row r="196" spans="1:9" x14ac:dyDescent="0.25">
      <c r="A196" s="21" t="s">
        <v>88</v>
      </c>
      <c r="B196" t="e">
        <v>#NAME?</v>
      </c>
      <c r="C196" t="s">
        <v>1</v>
      </c>
      <c r="I196" s="20"/>
    </row>
    <row r="197" spans="1:9" x14ac:dyDescent="0.25">
      <c r="A197" s="21" t="s">
        <v>89</v>
      </c>
      <c r="B197" t="e">
        <f>C197/Vin</f>
        <v>#NAME?</v>
      </c>
      <c r="C197" t="e">
        <v>#NAME?</v>
      </c>
      <c r="I197" s="20"/>
    </row>
    <row r="198" spans="1:9" x14ac:dyDescent="0.25">
      <c r="A198" s="21" t="s">
        <v>91</v>
      </c>
      <c r="B198" t="e">
        <f>SUM(B195:B197)</f>
        <v>#NAME?</v>
      </c>
      <c r="C198" t="s">
        <v>1</v>
      </c>
      <c r="I198" s="20"/>
    </row>
    <row r="199" spans="1:9" ht="13.8" thickBot="1" x14ac:dyDescent="0.3">
      <c r="A199" s="23"/>
      <c r="B199" s="24"/>
      <c r="C199" s="140"/>
      <c r="D199" s="24"/>
      <c r="E199" s="24"/>
      <c r="F199" s="24"/>
      <c r="G199" s="24"/>
      <c r="H199" s="24"/>
      <c r="I199" s="25"/>
    </row>
    <row r="200" spans="1:9" x14ac:dyDescent="0.25">
      <c r="A200" s="2"/>
      <c r="B200" s="2"/>
      <c r="C200" s="2"/>
    </row>
    <row r="201" spans="1:9" ht="21.75" customHeight="1" thickBot="1" x14ac:dyDescent="0.35">
      <c r="A201" s="39" t="s">
        <v>85</v>
      </c>
    </row>
    <row r="202" spans="1:9" x14ac:dyDescent="0.25">
      <c r="A202" s="40"/>
      <c r="B202" s="26"/>
      <c r="C202" s="139"/>
      <c r="D202" s="26"/>
      <c r="E202" s="26"/>
      <c r="F202" s="26"/>
      <c r="G202" s="26"/>
      <c r="H202" s="26"/>
      <c r="I202" s="27"/>
    </row>
    <row r="203" spans="1:9" x14ac:dyDescent="0.25">
      <c r="A203" s="19"/>
      <c r="B203" s="59"/>
      <c r="I203" s="20"/>
    </row>
    <row r="204" spans="1:9" x14ac:dyDescent="0.25">
      <c r="A204" s="19" t="str">
        <f>"RUV1 = "&amp;'LM(2)518x PSR flyback converter'!E38&amp;"MΩ"</f>
        <v>RUV1 = 46.4MΩ</v>
      </c>
      <c r="B204" t="str">
        <f>C245</f>
        <v>46.4kΩ</v>
      </c>
      <c r="I204" s="20"/>
    </row>
    <row r="205" spans="1:9" x14ac:dyDescent="0.25">
      <c r="A205" s="19" t="str">
        <f>"RUV2 = "&amp;'LM(2)518x PSR flyback converter'!E39&amp;"kΩ"</f>
        <v>RUV2 = 10.7kΩ</v>
      </c>
      <c r="B205" t="str">
        <f>C246</f>
        <v>10.7kΩ</v>
      </c>
      <c r="I205" s="20"/>
    </row>
    <row r="206" spans="1:9" x14ac:dyDescent="0.25">
      <c r="A206" s="19"/>
      <c r="I206" s="20"/>
    </row>
    <row r="207" spans="1:9" x14ac:dyDescent="0.25">
      <c r="A207" s="19" t="str">
        <f>"Lmag = "&amp;'LM(2)518x PSR flyback converter'!L7&amp;"µH"</f>
        <v>Lmag = 47µH</v>
      </c>
      <c r="B207" t="str">
        <f>'LM(2)518x PSR flyback converter'!L7&amp;"µH"</f>
        <v>47µH</v>
      </c>
      <c r="I207" s="20"/>
    </row>
    <row r="208" spans="1:9" x14ac:dyDescent="0.25">
      <c r="A208" s="19" t="str">
        <f>"Rdcr = "&amp;Rdcr_pri*1000&amp;"mΩ"</f>
        <v>Rdcr = 1000mΩ</v>
      </c>
      <c r="B208" t="str">
        <f>Rdcr_pri*1000&amp;"mΩ"</f>
        <v>1000mΩ</v>
      </c>
      <c r="I208" s="20"/>
    </row>
    <row r="209" spans="1:9" x14ac:dyDescent="0.25">
      <c r="A209" s="89" t="s">
        <v>391</v>
      </c>
      <c r="B209" t="str">
        <f>W52</f>
        <v>1 : 1</v>
      </c>
      <c r="I209" s="20"/>
    </row>
    <row r="210" spans="1:9" x14ac:dyDescent="0.25">
      <c r="A210" s="19"/>
      <c r="I210" s="20"/>
    </row>
    <row r="211" spans="1:9" x14ac:dyDescent="0.25">
      <c r="A211" s="19" t="str">
        <f>"Css = "&amp;ROUND(Css_u*1000000000,1)&amp;"nF"</f>
        <v>Css = 100nF</v>
      </c>
      <c r="B211" t="str">
        <f>ROUND(Css_u*1000000000,1)&amp;"nF"</f>
        <v>100nF</v>
      </c>
      <c r="I211" s="20"/>
    </row>
    <row r="212" spans="1:9" x14ac:dyDescent="0.25">
      <c r="A212" s="19"/>
      <c r="I212" s="20"/>
    </row>
    <row r="213" spans="1:9" x14ac:dyDescent="0.25">
      <c r="A213" s="19" t="s">
        <v>57</v>
      </c>
      <c r="B213" t="str">
        <f>VIN_nom&amp;"V"</f>
        <v>15V</v>
      </c>
      <c r="I213" s="20"/>
    </row>
    <row r="214" spans="1:9" x14ac:dyDescent="0.25">
      <c r="A214" s="89" t="s">
        <v>187</v>
      </c>
      <c r="B214" t="str">
        <f>VIN_min&amp;"V..."&amp;VIN_max&amp;"V"</f>
        <v>13V...26V</v>
      </c>
      <c r="I214" s="20"/>
    </row>
    <row r="215" spans="1:9" x14ac:dyDescent="0.25">
      <c r="A215" s="89"/>
      <c r="I215" s="20"/>
    </row>
    <row r="216" spans="1:9" x14ac:dyDescent="0.25">
      <c r="A216" s="19" t="str">
        <f>"VOUT = "&amp;'LM(2)518x PSR flyback converter'!E10&amp;"V"</f>
        <v>VOUT = 15V</v>
      </c>
      <c r="B216" t="str">
        <f>'LM(2)518x PSR flyback converter'!E10&amp;"V"</f>
        <v>15V</v>
      </c>
      <c r="D216">
        <f>MODE</f>
        <v>1</v>
      </c>
      <c r="I216" s="20"/>
    </row>
    <row r="217" spans="1:9" x14ac:dyDescent="0.25">
      <c r="A217" s="19" t="str">
        <f>"VOUT2 = "&amp;'LM(2)518x PSR flyback converter'!E12&amp;"V"</f>
        <v>VOUT2 = -16V</v>
      </c>
      <c r="B217" t="str">
        <f>IF(MODE_TOP="DUAL", 'LM(2)518x PSR flyback converter'!E12&amp;"V", "")</f>
        <v/>
      </c>
      <c r="D217" s="59" t="b">
        <f>MODE=2</f>
        <v>0</v>
      </c>
      <c r="I217" s="20"/>
    </row>
    <row r="218" spans="1:9" x14ac:dyDescent="0.25">
      <c r="A218" s="19" t="str">
        <f>"VOUT2 = "&amp;'LM(2)518x PSR flyback converter'!E12&amp;"V"</f>
        <v>VOUT2 = -16V</v>
      </c>
      <c r="B218" t="str">
        <f>IF(MODE_TOP="BIPOLAR", 'LM(2)518x PSR flyback converter'!E12&amp;"V", "")</f>
        <v/>
      </c>
      <c r="I218" s="20"/>
    </row>
    <row r="219" spans="1:9" x14ac:dyDescent="0.25">
      <c r="A219" s="19"/>
      <c r="I219" s="20"/>
    </row>
    <row r="220" spans="1:9" x14ac:dyDescent="0.25">
      <c r="A220" s="338" t="s">
        <v>521</v>
      </c>
      <c r="B220" s="59" t="str">
        <f>IF(MODE=1, "", "Co1")</f>
        <v/>
      </c>
      <c r="C220" s="59" t="str">
        <f>IF(MODE_TOP="DUAL", "Co2", "")</f>
        <v/>
      </c>
      <c r="D220" s="59" t="str">
        <f>IF(MODE_TOP="BIPOLAR", "Co2", "")</f>
        <v/>
      </c>
      <c r="F220" s="59" t="str">
        <f>MODE_TOP</f>
        <v>SINGLE</v>
      </c>
      <c r="I220" s="20"/>
    </row>
    <row r="221" spans="1:9" x14ac:dyDescent="0.25">
      <c r="A221" s="19" t="str">
        <f>"COUT = "&amp;'LM(2)518x PSR flyback converter'!$E$22&amp;"µF"</f>
        <v>COUT = 10µF</v>
      </c>
      <c r="B221" t="str">
        <f>'LM(2)518x PSR flyback converter'!$E$22&amp;"µF"</f>
        <v>10µF</v>
      </c>
      <c r="C221" t="str">
        <f>IF(MODE_TOP="DUAL", 'LM(2)518x PSR flyback converter'!$L$22&amp;"µF", "")</f>
        <v/>
      </c>
      <c r="D221" t="str">
        <f>IF(MODE_TOP="BIPOLAR", 'LM(2)518x PSR flyback converter'!$L$22&amp;"µF", "")</f>
        <v/>
      </c>
      <c r="F221" t="str">
        <f>'LM(2)518x PSR flyback converter'!$L$22&amp;"µF"</f>
        <v>22µF</v>
      </c>
      <c r="I221" s="20"/>
    </row>
    <row r="222" spans="1:9" x14ac:dyDescent="0.25">
      <c r="A222" s="89" t="s">
        <v>134</v>
      </c>
      <c r="B222" t="str">
        <f>"22µF"</f>
        <v>22µF</v>
      </c>
      <c r="I222" s="20"/>
    </row>
    <row r="223" spans="1:9" x14ac:dyDescent="0.25">
      <c r="A223" s="89" t="s">
        <v>135</v>
      </c>
      <c r="B223" s="60" t="str">
        <f>ROUNDUP(Cout/22,0)&amp;" x"</f>
        <v>1 x</v>
      </c>
      <c r="C223" s="141"/>
      <c r="I223" s="20"/>
    </row>
    <row r="224" spans="1:9" x14ac:dyDescent="0.25">
      <c r="A224" s="89"/>
      <c r="B224" s="60">
        <f>Cout</f>
        <v>10</v>
      </c>
      <c r="C224" s="141"/>
      <c r="I224" s="20"/>
    </row>
    <row r="225" spans="1:9" x14ac:dyDescent="0.25">
      <c r="A225" s="338" t="s">
        <v>522</v>
      </c>
      <c r="I225" s="20"/>
    </row>
    <row r="226" spans="1:9" x14ac:dyDescent="0.25">
      <c r="A226" s="19" t="s">
        <v>95</v>
      </c>
      <c r="B226" t="str">
        <f>Cin&amp;"µF"</f>
        <v>10µF</v>
      </c>
      <c r="I226" s="20"/>
    </row>
    <row r="227" spans="1:9" x14ac:dyDescent="0.25">
      <c r="A227" s="89" t="s">
        <v>133</v>
      </c>
      <c r="B227" t="str">
        <f>"4.7µF"</f>
        <v>4.7µF</v>
      </c>
      <c r="I227" s="20"/>
    </row>
    <row r="228" spans="1:9" x14ac:dyDescent="0.25">
      <c r="A228" s="89" t="s">
        <v>132</v>
      </c>
      <c r="B228" s="60" t="str">
        <f>ROUNDUP(Cin/4.7,0)&amp;" x"</f>
        <v>3 x</v>
      </c>
      <c r="C228" s="141"/>
      <c r="I228" s="20"/>
    </row>
    <row r="229" spans="1:9" x14ac:dyDescent="0.25">
      <c r="A229" s="89"/>
      <c r="B229" s="60"/>
      <c r="I229" s="20"/>
    </row>
    <row r="230" spans="1:9" ht="15.6" x14ac:dyDescent="0.35">
      <c r="A230" s="89" t="s">
        <v>523</v>
      </c>
      <c r="B230" s="502" t="s">
        <v>524</v>
      </c>
      <c r="C230" s="502" t="s">
        <v>564</v>
      </c>
      <c r="I230" s="20"/>
    </row>
    <row r="231" spans="1:9" x14ac:dyDescent="0.25">
      <c r="A231" s="89"/>
      <c r="B231" s="60"/>
      <c r="I231" s="20"/>
    </row>
    <row r="232" spans="1:9" x14ac:dyDescent="0.25">
      <c r="A232" s="338" t="s">
        <v>390</v>
      </c>
      <c r="B232" s="141" t="str">
        <f>IF(MODE_TC=1, "YES", "NO")</f>
        <v>YES</v>
      </c>
      <c r="I232" s="20"/>
    </row>
    <row r="233" spans="1:9" x14ac:dyDescent="0.25">
      <c r="A233" s="89" t="s">
        <v>299</v>
      </c>
      <c r="B233" s="141" t="str">
        <f>IF(MODE_TC=2, "YES", "NO")</f>
        <v>NO</v>
      </c>
      <c r="C233" s="330" t="str">
        <f>IF(MODE_TC=2, "R1", "")</f>
        <v/>
      </c>
      <c r="D233" s="330" t="str">
        <f>IF(MODE_TC=2, "R2", "")</f>
        <v/>
      </c>
      <c r="E233" s="330"/>
      <c r="I233" s="20"/>
    </row>
    <row r="234" spans="1:9" x14ac:dyDescent="0.25">
      <c r="A234" s="19" t="str">
        <f>"RFB = "&amp;'LM(2)518x PSR flyback converter'!E27&amp;"kΩ"</f>
        <v>RFB = 153.2kΩ</v>
      </c>
      <c r="B234" t="str">
        <f>IF(MODE_TC=1, "", 'LM(2)518x PSR flyback converter'!E27&amp;"kΩ")</f>
        <v/>
      </c>
      <c r="C234" s="59" t="str">
        <f>'LM(2)518x PSR flyback converter'!E27&amp;"kΩ"</f>
        <v>153.2kΩ</v>
      </c>
      <c r="I234" s="20"/>
    </row>
    <row r="235" spans="1:9" x14ac:dyDescent="0.25">
      <c r="A235" s="19" t="str">
        <f>"RFB2 = "&amp;IF(Vout=Vref,"OPEN",'LM(2)518x PSR flyback converter'!E28&amp;"kΩ")</f>
        <v>RFB2 = 75kΩ</v>
      </c>
      <c r="B235" t="str">
        <f>IF(MODE_TC=1, "", IF(Vout=Vref,"OPEN",Rfb2_u/1000&amp;"kΩ"))</f>
        <v/>
      </c>
      <c r="C235" s="59" t="str">
        <f>'LM(2)518x PSR flyback converter'!E28&amp;"kΩ"</f>
        <v>75kΩ</v>
      </c>
      <c r="I235" s="20"/>
    </row>
    <row r="236" spans="1:9" x14ac:dyDescent="0.25">
      <c r="A236" s="19"/>
      <c r="C236" s="59"/>
      <c r="I236" s="20"/>
    </row>
    <row r="237" spans="1:9" x14ac:dyDescent="0.25">
      <c r="A237" s="89" t="s">
        <v>303</v>
      </c>
      <c r="B237" s="3" t="str">
        <f>IF(MODE=1, "YES", "NO")</f>
        <v>YES</v>
      </c>
      <c r="C237" t="str">
        <f>IF(MODE=1,"Rt", "")</f>
        <v>Rt</v>
      </c>
      <c r="I237" s="20"/>
    </row>
    <row r="238" spans="1:9" x14ac:dyDescent="0.25">
      <c r="A238" s="89" t="s">
        <v>139</v>
      </c>
      <c r="B238" t="e">
        <f>IF(MODE=2, "", 'Standard Value Calculator'!J4/1000&amp;"kΩ")</f>
        <v>#NAME?</v>
      </c>
      <c r="I238" s="20"/>
    </row>
    <row r="239" spans="1:9" x14ac:dyDescent="0.25">
      <c r="A239" s="89"/>
      <c r="I239" s="20"/>
    </row>
    <row r="240" spans="1:9" x14ac:dyDescent="0.25">
      <c r="A240" s="338" t="s">
        <v>380</v>
      </c>
      <c r="B240" s="141" t="str">
        <f>IF(MODE=1, "YES", "NO")</f>
        <v>YES</v>
      </c>
      <c r="C240" s="59" t="str">
        <f>IF(TC=1,"Rtc", "")</f>
        <v>Rtc</v>
      </c>
      <c r="I240" s="20"/>
    </row>
    <row r="241" spans="1:9" x14ac:dyDescent="0.25">
      <c r="A241" s="456" t="str">
        <f>"RTC = "&amp;RTC&amp;"kΩ"</f>
        <v>RTC = 150kΩ</v>
      </c>
      <c r="B241" t="str">
        <f>IF(TC=1, RTC&amp;"kΩ", "")</f>
        <v>150kΩ</v>
      </c>
      <c r="C241" s="59" t="str">
        <f>CHOOSE(TC,"Rtc","")</f>
        <v>Rtc</v>
      </c>
      <c r="F241" s="5"/>
      <c r="I241" s="20"/>
    </row>
    <row r="242" spans="1:9" x14ac:dyDescent="0.25">
      <c r="A242" s="89" t="s">
        <v>383</v>
      </c>
      <c r="B242" s="60"/>
      <c r="C242"/>
      <c r="F242" s="5"/>
      <c r="I242" s="20"/>
    </row>
    <row r="243" spans="1:9" x14ac:dyDescent="0.25">
      <c r="A243" s="19"/>
      <c r="B243" s="60"/>
      <c r="C243" s="141"/>
      <c r="E243" s="91"/>
      <c r="I243" s="20"/>
    </row>
    <row r="244" spans="1:9" x14ac:dyDescent="0.25">
      <c r="A244" s="338" t="s">
        <v>306</v>
      </c>
      <c r="B244" s="141" t="str">
        <f>IF(MODE_UVLO=1, "YES", "NO")</f>
        <v>YES</v>
      </c>
      <c r="C244" s="330" t="str">
        <f>IF(MODE_UVLO=1, "Ruv1", "")</f>
        <v>Ruv1</v>
      </c>
      <c r="D244" s="330" t="str">
        <f>IF(MODE_UVLO=1, "Ruv2", "")</f>
        <v>Ruv2</v>
      </c>
      <c r="E244" s="330"/>
      <c r="F244" s="330" t="s">
        <v>6</v>
      </c>
      <c r="G244" s="330" t="s">
        <v>33</v>
      </c>
      <c r="H244" s="59" t="s">
        <v>340</v>
      </c>
      <c r="I244" s="20"/>
    </row>
    <row r="245" spans="1:9" x14ac:dyDescent="0.25">
      <c r="A245" s="19" t="str">
        <f>"RUV1 = "&amp;C245</f>
        <v>RUV1 = 46.4kΩ</v>
      </c>
      <c r="B245" t="str">
        <f>'LM(2)518x PSR flyback converter'!E38&amp;" kΩ"</f>
        <v>46.4 kΩ</v>
      </c>
      <c r="C245" s="330" t="str">
        <f>IF(MODE_UVLO=1,'LM(2)518x PSR flyback converter'!E38&amp;"kΩ", "")</f>
        <v>46.4kΩ</v>
      </c>
      <c r="F245">
        <f>IF(MODE_UVLO=1,'LM(2)518x PSR flyback converter'!E38, "")</f>
        <v>46.400000000000006</v>
      </c>
      <c r="G245" s="59" t="str">
        <f>IF(MODE_UVLO=1,"kΩ", "")</f>
        <v>kΩ</v>
      </c>
      <c r="H245" s="330" t="str">
        <f>IF(MODE_UVLO=1,'LM(2)518x PSR flyback converter'!E38&amp;"k", "")</f>
        <v>46.4k</v>
      </c>
      <c r="I245" s="20"/>
    </row>
    <row r="246" spans="1:9" x14ac:dyDescent="0.25">
      <c r="A246" s="19" t="str">
        <f>"RUV2 = "&amp;C246</f>
        <v>RUV2 = 10.7kΩ</v>
      </c>
      <c r="B246" t="str">
        <f>IF(D158&gt;=1000, D158/1000&amp;" MΩ", D158&amp;" kΩ")</f>
        <v>10.7 kΩ</v>
      </c>
      <c r="C246" s="330" t="str">
        <f>IF(MODE_UVLO=1, IF(D158&lt;1, D158*1000&amp;"Ω", IF(D158&lt;1000, D158&amp;"kΩ", D158/1000&amp;"MΩ")), "")</f>
        <v>10.7kΩ</v>
      </c>
      <c r="F246">
        <f>IF(MODE_UVLO=1, IF(D158&lt;1, D158*1000, IF(D158&lt;1000, D158, D158/1000)), "")</f>
        <v>10.700000000000001</v>
      </c>
      <c r="G246" s="59" t="str">
        <f>IF(MODE_UVLO=1, IF(D158&lt;1, "Ω", IF(D158&lt;1000,"kΩ", "MΩ")), "")</f>
        <v>kΩ</v>
      </c>
      <c r="H246" s="330" t="str">
        <f>IF(MODE_UVLO=1, IF(D158&lt;1, D158*1000, IF(D158&lt;1000, D158&amp;"k", D158/1000&amp;"M")), "")</f>
        <v>10.7k</v>
      </c>
      <c r="I246" s="20"/>
    </row>
    <row r="247" spans="1:9" x14ac:dyDescent="0.25">
      <c r="A247" s="19"/>
      <c r="C247" s="330"/>
      <c r="G247" s="59"/>
      <c r="H247" s="330"/>
      <c r="I247" s="20"/>
    </row>
    <row r="248" spans="1:9" x14ac:dyDescent="0.25">
      <c r="A248" s="338" t="s">
        <v>384</v>
      </c>
      <c r="C248" s="330"/>
      <c r="G248" s="59"/>
      <c r="H248" s="330"/>
      <c r="I248" s="20"/>
    </row>
    <row r="249" spans="1:9" x14ac:dyDescent="0.25">
      <c r="A249" s="19" t="str">
        <f>"RSET = "&amp;C249</f>
        <v>RSET = 12.1kΩ</v>
      </c>
      <c r="B249" s="59" t="s">
        <v>379</v>
      </c>
      <c r="C249" s="59" t="s">
        <v>544</v>
      </c>
      <c r="F249">
        <f>IF(MODE_UVLO=1, IF(D159&lt;1, D159*1000, IF(D159&lt;1000, D159, D159/1000)), "")</f>
        <v>0</v>
      </c>
      <c r="G249" s="59" t="str">
        <f>IF(MODE_UVLO=1, IF(D159&lt;1, "Ω", IF(D159&lt;1000,"kΩ", "MΩ")), "")</f>
        <v>Ω</v>
      </c>
      <c r="H249" s="330">
        <f>IF(MODE_UVLO=1, IF(D159&lt;1, D159*1000, IF(D159&lt;1000, D159&amp;"k", D159&amp;"M")), "")</f>
        <v>0</v>
      </c>
      <c r="I249" s="20"/>
    </row>
    <row r="250" spans="1:9" x14ac:dyDescent="0.25">
      <c r="A250" s="19"/>
      <c r="B250" s="59"/>
      <c r="C250" s="59"/>
      <c r="G250" s="59"/>
      <c r="H250" s="330"/>
      <c r="I250" s="20"/>
    </row>
    <row r="251" spans="1:9" x14ac:dyDescent="0.25">
      <c r="A251" s="338" t="s">
        <v>385</v>
      </c>
      <c r="B251" s="60"/>
      <c r="C251" s="141"/>
      <c r="E251" s="91"/>
      <c r="I251" s="20"/>
    </row>
    <row r="252" spans="1:9" x14ac:dyDescent="0.25">
      <c r="A252" s="19" t="str">
        <f>"Css = "&amp;Css*1000000000&amp;"nF"</f>
        <v>Css = 100nF</v>
      </c>
      <c r="B252" t="str">
        <f>Css*1000000000&amp;"nF"</f>
        <v>100nF</v>
      </c>
      <c r="I252" s="20"/>
    </row>
    <row r="253" spans="1:9" x14ac:dyDescent="0.25">
      <c r="A253" s="19" t="s">
        <v>66</v>
      </c>
      <c r="B253" t="str">
        <f>CHOOSE(MODE_SS,'Standard Value Calculator'!B4*1000000000&amp;"nF","")</f>
        <v>100nF</v>
      </c>
      <c r="C253" t="str">
        <f>CHOOSE(MODE_SS,"Css","")</f>
        <v>Css</v>
      </c>
      <c r="D253" s="339" t="str">
        <f>B253</f>
        <v>100nF</v>
      </c>
      <c r="I253" s="20"/>
    </row>
    <row r="254" spans="1:9" x14ac:dyDescent="0.25">
      <c r="A254" s="19"/>
      <c r="C254" s="59" t="str">
        <f>C253</f>
        <v>Css</v>
      </c>
      <c r="D254" s="3"/>
      <c r="I254" s="20"/>
    </row>
    <row r="255" spans="1:9" x14ac:dyDescent="0.25">
      <c r="A255" s="19"/>
      <c r="C255" s="59"/>
      <c r="D255" s="3"/>
      <c r="I255" s="20"/>
    </row>
    <row r="256" spans="1:9" x14ac:dyDescent="0.25">
      <c r="A256" s="89" t="s">
        <v>653</v>
      </c>
      <c r="B256" s="59">
        <f>ROUND(Iout*2,1)</f>
        <v>0.2</v>
      </c>
      <c r="C256" s="59" t="s">
        <v>1</v>
      </c>
      <c r="I256" s="20"/>
    </row>
    <row r="257" spans="1:9" x14ac:dyDescent="0.25">
      <c r="A257" s="89" t="s">
        <v>654</v>
      </c>
      <c r="B257">
        <f>ROUND(VRRM_DIODE,0)</f>
        <v>41</v>
      </c>
      <c r="C257" s="59" t="s">
        <v>0</v>
      </c>
      <c r="I257" s="20"/>
    </row>
    <row r="258" spans="1:9" x14ac:dyDescent="0.25">
      <c r="I258" s="20"/>
    </row>
    <row r="259" spans="1:9" x14ac:dyDescent="0.25">
      <c r="A259" s="89"/>
      <c r="B259" s="60"/>
      <c r="C259"/>
      <c r="I259" s="20"/>
    </row>
    <row r="260" spans="1:9" x14ac:dyDescent="0.25">
      <c r="A260" s="89" t="s">
        <v>129</v>
      </c>
      <c r="B260" s="59" t="s">
        <v>311</v>
      </c>
      <c r="C260"/>
      <c r="I260" s="20"/>
    </row>
    <row r="261" spans="1:9" x14ac:dyDescent="0.25">
      <c r="A261" s="89"/>
      <c r="B261" s="59"/>
      <c r="C261"/>
      <c r="I261" s="20"/>
    </row>
    <row r="262" spans="1:9" x14ac:dyDescent="0.25">
      <c r="A262" s="89" t="s">
        <v>183</v>
      </c>
      <c r="B262" s="60" t="str">
        <f>CHOOSE(MODE, ROUND('Calculations - Single'!$CD$105,1)&amp;"%", ROUND('Calculations - Dual'!CF105,1)&amp;"%")</f>
        <v>86.1%</v>
      </c>
      <c r="C262"/>
      <c r="I262" s="20"/>
    </row>
    <row r="263" spans="1:9" x14ac:dyDescent="0.25">
      <c r="A263" s="89" t="s">
        <v>501</v>
      </c>
      <c r="B263" s="60" t="str">
        <f>ROUND('Calculations - Single'!$CD$55,1)&amp;"%"</f>
        <v>84.3%</v>
      </c>
      <c r="C263"/>
      <c r="I263" s="20"/>
    </row>
    <row r="264" spans="1:9" x14ac:dyDescent="0.25">
      <c r="A264" s="89" t="s">
        <v>308</v>
      </c>
      <c r="B264" s="60" t="str">
        <f>ROUND('Calculations - Single'!$CD$15,1)&amp;"%"</f>
        <v>75.5%</v>
      </c>
      <c r="C264" s="59" t="s">
        <v>313</v>
      </c>
      <c r="I264" s="20"/>
    </row>
    <row r="265" spans="1:9" x14ac:dyDescent="0.25">
      <c r="A265" s="89" t="s">
        <v>312</v>
      </c>
      <c r="B265" s="60" t="str">
        <f>ROUND(Parameters!BZ56,1)&amp;"%"</f>
        <v>0%</v>
      </c>
      <c r="C265" s="59" t="s">
        <v>314</v>
      </c>
      <c r="I265" s="20"/>
    </row>
    <row r="266" spans="1:9" x14ac:dyDescent="0.25">
      <c r="A266" s="19"/>
      <c r="I266" s="20"/>
    </row>
    <row r="267" spans="1:9" x14ac:dyDescent="0.25">
      <c r="A267" s="19"/>
      <c r="I267" s="20"/>
    </row>
    <row r="268" spans="1:9" x14ac:dyDescent="0.25">
      <c r="A268" s="19"/>
      <c r="I268" s="20"/>
    </row>
    <row r="269" spans="1:9" x14ac:dyDescent="0.25">
      <c r="A269" s="19" t="s">
        <v>80</v>
      </c>
      <c r="B269" t="str">
        <f>IF(C269="y","","|")</f>
        <v>|</v>
      </c>
      <c r="C269" s="3" t="s">
        <v>320</v>
      </c>
      <c r="I269" s="20"/>
    </row>
    <row r="270" spans="1:9" x14ac:dyDescent="0.25">
      <c r="A270" s="19"/>
      <c r="I270" s="20"/>
    </row>
    <row r="271" spans="1:9" x14ac:dyDescent="0.25">
      <c r="A271" s="434" t="s">
        <v>86</v>
      </c>
      <c r="B271" t="str">
        <f>'LM(2)518x PSR flyback converter'!$E$11&amp;"A"</f>
        <v>0.1A</v>
      </c>
      <c r="I271" s="20"/>
    </row>
    <row r="272" spans="1:9" x14ac:dyDescent="0.25">
      <c r="A272" s="434" t="s">
        <v>520</v>
      </c>
      <c r="B272" t="str">
        <f>IF(MODE_TOP="DUAL", 'LM(2)518x PSR flyback converter'!$E$13&amp;"A", "")</f>
        <v/>
      </c>
      <c r="D272" s="59">
        <f>MODE</f>
        <v>1</v>
      </c>
      <c r="I272" s="20"/>
    </row>
    <row r="273" spans="1:9" x14ac:dyDescent="0.25">
      <c r="A273" s="434" t="s">
        <v>519</v>
      </c>
      <c r="B273" t="str">
        <f>IF(MODE_TOP="BIPOLAR", Iout2_actual&amp;"A", "")</f>
        <v/>
      </c>
      <c r="I273" s="20"/>
    </row>
    <row r="274" spans="1:9" x14ac:dyDescent="0.25">
      <c r="A274" s="19"/>
      <c r="I274" s="20"/>
    </row>
    <row r="275" spans="1:9" x14ac:dyDescent="0.25">
      <c r="A275" s="89" t="s">
        <v>94</v>
      </c>
      <c r="B275">
        <v>1</v>
      </c>
      <c r="I275" s="20"/>
    </row>
    <row r="276" spans="1:9" x14ac:dyDescent="0.25">
      <c r="A276" s="89" t="s">
        <v>93</v>
      </c>
      <c r="B276">
        <v>2</v>
      </c>
      <c r="I276" s="20"/>
    </row>
    <row r="277" spans="1:9" x14ac:dyDescent="0.25">
      <c r="A277" s="89" t="s">
        <v>57</v>
      </c>
      <c r="B277">
        <v>3</v>
      </c>
      <c r="I277" s="20"/>
    </row>
    <row r="278" spans="1:9" x14ac:dyDescent="0.25">
      <c r="A278" s="89" t="s">
        <v>565</v>
      </c>
      <c r="B278">
        <v>4</v>
      </c>
      <c r="I278" s="20"/>
    </row>
    <row r="279" spans="1:9" x14ac:dyDescent="0.25">
      <c r="A279" s="89" t="s">
        <v>566</v>
      </c>
      <c r="B279">
        <v>5</v>
      </c>
      <c r="I279" s="20"/>
    </row>
    <row r="280" spans="1:9" x14ac:dyDescent="0.25">
      <c r="A280" s="89" t="s">
        <v>567</v>
      </c>
      <c r="B280">
        <v>6</v>
      </c>
      <c r="I280" s="20"/>
    </row>
    <row r="281" spans="1:9" x14ac:dyDescent="0.25">
      <c r="A281" s="89" t="s">
        <v>568</v>
      </c>
      <c r="B281">
        <v>7</v>
      </c>
      <c r="I281" s="20"/>
    </row>
    <row r="282" spans="1:9" x14ac:dyDescent="0.25">
      <c r="A282" s="89" t="s">
        <v>92</v>
      </c>
      <c r="B282">
        <v>8</v>
      </c>
      <c r="I282" s="20"/>
    </row>
    <row r="283" spans="1:9" ht="13.8" thickBot="1" x14ac:dyDescent="0.3">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33203125" defaultRowHeight="13.2" x14ac:dyDescent="0.25"/>
  <cols>
    <col min="1" max="1" width="10.44140625" style="150" customWidth="1"/>
    <col min="2" max="2" width="10.6640625" style="150" customWidth="1"/>
    <col min="3" max="3" width="6.33203125" style="150" customWidth="1"/>
    <col min="4" max="4" width="16.33203125" style="150" customWidth="1"/>
    <col min="5" max="5" width="4.44140625" style="150" customWidth="1"/>
    <col min="6" max="6" width="3.33203125" style="150" customWidth="1"/>
    <col min="7" max="7" width="16.33203125" style="150" customWidth="1"/>
    <col min="8" max="8" width="15.6640625" style="150" customWidth="1"/>
    <col min="9" max="9" width="10" style="150" customWidth="1"/>
    <col min="10" max="10" width="10.6640625" style="150" customWidth="1"/>
    <col min="11" max="11" width="10.33203125" style="150" customWidth="1"/>
    <col min="12" max="14" width="11.6640625" style="150" customWidth="1"/>
    <col min="15" max="15" width="14.33203125" style="150" customWidth="1"/>
    <col min="16" max="16" width="11" style="150" customWidth="1"/>
    <col min="17" max="17" width="12" style="150" customWidth="1"/>
    <col min="18" max="18" width="11.44140625" style="150" customWidth="1"/>
    <col min="19" max="19" width="10.6640625" style="150" customWidth="1"/>
    <col min="20" max="20" width="11.44140625" style="150" customWidth="1"/>
    <col min="21" max="21" width="11.6640625" style="150" customWidth="1"/>
    <col min="22" max="22" width="13.5546875" style="150" customWidth="1"/>
    <col min="23" max="23" width="9.44140625" style="150" customWidth="1"/>
    <col min="24" max="24" width="16.33203125" style="150" bestFit="1" customWidth="1"/>
    <col min="25" max="25" width="16.33203125" style="152" customWidth="1"/>
    <col min="26" max="26" width="8.6640625" style="150" bestFit="1" customWidth="1"/>
    <col min="27" max="27" width="13.44140625" style="150" bestFit="1" customWidth="1"/>
    <col min="28" max="28" width="9.33203125" style="150" bestFit="1" customWidth="1"/>
    <col min="29" max="29" width="9.33203125" style="150"/>
    <col min="30" max="30" width="13.5546875" style="150" customWidth="1"/>
    <col min="31" max="31" width="10.5546875" style="150" customWidth="1"/>
    <col min="32" max="32" width="9.33203125" style="150"/>
    <col min="33" max="33" width="9.33203125" style="150" bestFit="1" customWidth="1"/>
    <col min="34" max="34" width="11.33203125" style="150" bestFit="1" customWidth="1"/>
    <col min="35" max="35" width="5.6640625" style="150" customWidth="1"/>
    <col min="36" max="36" width="12.33203125" style="150" customWidth="1"/>
    <col min="37" max="37" width="8.6640625" style="150" customWidth="1"/>
    <col min="38" max="38" width="18.33203125" style="150" customWidth="1"/>
    <col min="39" max="39" width="45.33203125" style="150" customWidth="1"/>
    <col min="40" max="40" width="19.33203125" style="150" bestFit="1" customWidth="1"/>
    <col min="41" max="41" width="40.6640625" style="150" bestFit="1" customWidth="1"/>
    <col min="42" max="42" width="40.33203125" style="150" bestFit="1" customWidth="1"/>
    <col min="43" max="43" width="40.6640625" style="150" bestFit="1" customWidth="1"/>
    <col min="44" max="44" width="40.33203125" style="150" bestFit="1" customWidth="1"/>
    <col min="45" max="45" width="28.44140625" style="150" customWidth="1"/>
    <col min="46" max="16384" width="9.33203125" style="150"/>
  </cols>
  <sheetData>
    <row r="1" spans="1:44" ht="13.8" thickBot="1" x14ac:dyDescent="0.3"/>
    <row r="2" spans="1:44" x14ac:dyDescent="0.25">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5">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5">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28.675999999999998</v>
      </c>
      <c r="X4" s="621" t="s">
        <v>2</v>
      </c>
      <c r="Y4" s="386">
        <f>20*LOG(Am*Afb)</f>
        <v>1.6557074063289998</v>
      </c>
      <c r="Z4" s="150" t="s">
        <v>787</v>
      </c>
    </row>
    <row r="5" spans="1:44" x14ac:dyDescent="0.25">
      <c r="H5" s="558" t="s">
        <v>712</v>
      </c>
      <c r="I5" s="241">
        <f>1/(2*Pi*REAout*Ccomp)</f>
        <v>0.5526213308116541</v>
      </c>
      <c r="J5" s="559" t="s">
        <v>8</v>
      </c>
      <c r="K5" s="560"/>
      <c r="L5" s="168"/>
      <c r="M5" s="559"/>
      <c r="N5" s="563"/>
      <c r="O5" s="563"/>
      <c r="P5" s="560" t="s">
        <v>727</v>
      </c>
      <c r="Q5" s="562">
        <f>Rload_pri/(2*Pi*Lmag*M*(M+1))</f>
        <v>150038.04799620897</v>
      </c>
      <c r="R5" s="559" t="s">
        <v>8</v>
      </c>
      <c r="S5" s="560"/>
      <c r="T5" s="151"/>
      <c r="U5" s="559"/>
      <c r="V5" s="619" t="s">
        <v>713</v>
      </c>
      <c r="W5" s="622">
        <f>AK9</f>
        <v>51.035196098563858</v>
      </c>
      <c r="X5" s="623" t="s">
        <v>714</v>
      </c>
      <c r="Y5" s="386">
        <f>20*LOG(Am)</f>
        <v>23.521825181113623</v>
      </c>
      <c r="Z5" s="150" t="s">
        <v>787</v>
      </c>
    </row>
    <row r="6" spans="1:44" x14ac:dyDescent="0.25">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8" thickBot="1" x14ac:dyDescent="0.3">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28.675999999999998</v>
      </c>
    </row>
    <row r="8" spans="1:44" x14ac:dyDescent="0.25">
      <c r="H8" s="571"/>
      <c r="I8" s="175"/>
      <c r="L8" s="191"/>
      <c r="M8" s="191"/>
      <c r="N8" s="191"/>
    </row>
    <row r="9" spans="1:44" ht="13.8" thickBot="1" x14ac:dyDescent="0.3">
      <c r="A9" s="612"/>
      <c r="B9" s="232" t="s">
        <v>773</v>
      </c>
      <c r="AJ9" s="150" t="s">
        <v>720</v>
      </c>
      <c r="AK9" s="152">
        <f>SUM(AK13:AK613)</f>
        <v>51.035196098563858</v>
      </c>
    </row>
    <row r="10" spans="1:44" ht="13.8" x14ac:dyDescent="0.25">
      <c r="A10" s="615"/>
      <c r="B10" s="232" t="s">
        <v>777</v>
      </c>
      <c r="G10" s="719" t="s">
        <v>721</v>
      </c>
      <c r="H10" s="722" t="s">
        <v>771</v>
      </c>
      <c r="I10" s="724" t="s">
        <v>722</v>
      </c>
      <c r="J10" s="725"/>
      <c r="K10" s="725"/>
      <c r="L10" s="725"/>
      <c r="M10" s="725"/>
      <c r="N10" s="726"/>
      <c r="O10" s="724" t="s">
        <v>723</v>
      </c>
      <c r="P10" s="725"/>
      <c r="Q10" s="725"/>
      <c r="R10" s="725"/>
      <c r="S10" s="725"/>
      <c r="T10" s="726"/>
      <c r="U10" s="704" t="s">
        <v>775</v>
      </c>
      <c r="V10" s="727"/>
      <c r="W10" s="704" t="s">
        <v>724</v>
      </c>
      <c r="X10" s="705"/>
      <c r="Y10" s="706"/>
      <c r="AD10" s="707" t="s">
        <v>725</v>
      </c>
      <c r="AE10" s="708"/>
      <c r="AG10" s="707" t="s">
        <v>726</v>
      </c>
      <c r="AH10" s="708"/>
      <c r="AM10" s="238" t="s">
        <v>776</v>
      </c>
    </row>
    <row r="11" spans="1:44" x14ac:dyDescent="0.25">
      <c r="G11" s="720"/>
      <c r="H11" s="723"/>
      <c r="I11" s="709" t="s">
        <v>710</v>
      </c>
      <c r="J11" s="710"/>
      <c r="K11" s="710" t="s">
        <v>705</v>
      </c>
      <c r="L11" s="711"/>
      <c r="M11" s="712" t="s">
        <v>727</v>
      </c>
      <c r="N11" s="713"/>
      <c r="O11" s="709" t="s">
        <v>728</v>
      </c>
      <c r="P11" s="710"/>
      <c r="Q11" s="710" t="s">
        <v>729</v>
      </c>
      <c r="R11" s="711"/>
      <c r="S11" s="712" t="s">
        <v>730</v>
      </c>
      <c r="T11" s="713"/>
      <c r="U11" s="709" t="s">
        <v>706</v>
      </c>
      <c r="V11" s="711"/>
      <c r="W11" s="560"/>
      <c r="X11" s="151"/>
      <c r="Y11" s="572"/>
      <c r="AD11" s="560"/>
      <c r="AE11" s="559"/>
      <c r="AG11" s="560"/>
      <c r="AH11" s="559"/>
    </row>
    <row r="12" spans="1:44" ht="13.8" thickBot="1" x14ac:dyDescent="0.3">
      <c r="F12" s="610"/>
      <c r="G12" s="721"/>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5">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1.000000000000222</v>
      </c>
      <c r="N13" s="585">
        <f t="shared" ref="N13:N76" si="5">-ATAN(G13/z_RHP)</f>
        <v>-6.6649760734365132E-7</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96.720751086806928</v>
      </c>
      <c r="X13" s="590">
        <f t="shared" ref="X13:X76" si="13">((L13+R13+N13+V13)-(J13+P13+T13))*radconv</f>
        <v>-10.258411905410318</v>
      </c>
      <c r="Y13" s="591">
        <f t="shared" ref="Y13:Y76" si="14">IF(X13&gt;0,X13,X13+180)</f>
        <v>169.74158809458967</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27.047125371806192</v>
      </c>
      <c r="AH13" s="593">
        <f t="shared" ref="AH13:AH76" si="20">(L13+N13-(J13+V13))*radconv</f>
        <v>-5.5531016746656796E-3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5">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1.0000000000267044</v>
      </c>
      <c r="N14" s="585">
        <f t="shared" si="5"/>
        <v>-7.3081462643941114E-6</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89.926076113953485</v>
      </c>
      <c r="X14" s="590">
        <f t="shared" si="13"/>
        <v>-63.267922747025693</v>
      </c>
      <c r="Y14" s="593">
        <f t="shared" si="14"/>
        <v>116.73207725297431</v>
      </c>
      <c r="AA14" s="150">
        <f t="shared" si="15"/>
        <v>1000000000</v>
      </c>
      <c r="AB14" s="150">
        <f t="shared" si="16"/>
        <v>1.2023122500000001</v>
      </c>
      <c r="AD14" s="592">
        <f t="shared" si="17"/>
        <v>88.273848729113467</v>
      </c>
      <c r="AE14" s="593">
        <f t="shared" si="18"/>
        <v>-63.205454162803761</v>
      </c>
      <c r="AG14" s="592">
        <f t="shared" si="19"/>
        <v>27.047120443649973</v>
      </c>
      <c r="AH14" s="593">
        <f t="shared" si="20"/>
        <v>-6.0889625607664734E-2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5">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1.0000000000321065</v>
      </c>
      <c r="N15" s="585">
        <f t="shared" si="5"/>
        <v>-8.0133007329223864E-6</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89.276580320059566</v>
      </c>
      <c r="X15" s="590">
        <f t="shared" si="13"/>
        <v>-65.331650482718047</v>
      </c>
      <c r="Y15" s="593">
        <f t="shared" si="14"/>
        <v>114.66834951728195</v>
      </c>
      <c r="AA15" s="150">
        <f t="shared" si="15"/>
        <v>1000000000</v>
      </c>
      <c r="AB15" s="150">
        <f t="shared" si="16"/>
        <v>1.4455252899999997</v>
      </c>
      <c r="AD15" s="592">
        <f t="shared" si="17"/>
        <v>87.624353940705731</v>
      </c>
      <c r="AE15" s="593">
        <f t="shared" si="18"/>
        <v>-65.263154381715353</v>
      </c>
      <c r="AG15" s="592">
        <f t="shared" si="19"/>
        <v>27.047119438383909</v>
      </c>
      <c r="AH15" s="593">
        <f t="shared" si="20"/>
        <v>-6.676478755573298E-2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5">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1.0000000000386007</v>
      </c>
      <c r="N16" s="585">
        <f t="shared" si="5"/>
        <v>-8.7864379573865467E-6</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88.605899561093636</v>
      </c>
      <c r="X16" s="590">
        <f t="shared" si="13"/>
        <v>-67.275473523931851</v>
      </c>
      <c r="Y16" s="593">
        <f t="shared" si="14"/>
        <v>112.72452647606815</v>
      </c>
      <c r="AA16" s="150">
        <f t="shared" si="15"/>
        <v>1000000000</v>
      </c>
      <c r="AB16" s="150">
        <f t="shared" si="16"/>
        <v>1.7379148900000001</v>
      </c>
      <c r="AD16" s="592">
        <f t="shared" si="17"/>
        <v>86.953674390530381</v>
      </c>
      <c r="AE16" s="593">
        <f t="shared" si="18"/>
        <v>-67.200368808182958</v>
      </c>
      <c r="AG16" s="592">
        <f t="shared" si="19"/>
        <v>27.047118229857979</v>
      </c>
      <c r="AH16" s="593">
        <f t="shared" si="20"/>
        <v>-7.3206365468021534E-2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5">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1.0000000000464027</v>
      </c>
      <c r="N17" s="585">
        <f t="shared" si="5"/>
        <v>-9.6335564162485464E-6</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87.916953348174616</v>
      </c>
      <c r="X17" s="590">
        <f t="shared" si="13"/>
        <v>-69.096912284878414</v>
      </c>
      <c r="Y17" s="593">
        <f t="shared" si="14"/>
        <v>110.90308771512159</v>
      </c>
      <c r="AA17" s="150">
        <f t="shared" si="15"/>
        <v>1000000000</v>
      </c>
      <c r="AB17" s="150">
        <f t="shared" si="16"/>
        <v>2.0891811599999999</v>
      </c>
      <c r="AD17" s="592">
        <f t="shared" si="17"/>
        <v>86.264729629808116</v>
      </c>
      <c r="AE17" s="593">
        <f t="shared" si="18"/>
        <v>-69.014566578073442</v>
      </c>
      <c r="AG17" s="592">
        <f t="shared" si="19"/>
        <v>27.047116777979149</v>
      </c>
      <c r="AH17" s="593">
        <f t="shared" si="20"/>
        <v>-8.0264331158979629E-2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5">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1.0000000000557918</v>
      </c>
      <c r="N18" s="585">
        <f t="shared" si="5"/>
        <v>-1.0563320578398195E-5</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87.210902326343088</v>
      </c>
      <c r="X18" s="590">
        <f t="shared" si="13"/>
        <v>-70.799691893919231</v>
      </c>
      <c r="Y18" s="593">
        <f t="shared" si="14"/>
        <v>109.20030810608077</v>
      </c>
      <c r="AA18" s="150">
        <f t="shared" si="15"/>
        <v>1000000000</v>
      </c>
      <c r="AB18" s="150">
        <f t="shared" si="16"/>
        <v>2.51190801</v>
      </c>
      <c r="AD18" s="592">
        <f t="shared" si="17"/>
        <v>85.558680355603357</v>
      </c>
      <c r="AE18" s="593">
        <f t="shared" si="18"/>
        <v>-70.709398760955509</v>
      </c>
      <c r="AG18" s="592">
        <f t="shared" si="19"/>
        <v>27.047115030735007</v>
      </c>
      <c r="AH18" s="593">
        <f t="shared" si="20"/>
        <v>-8.8010876180752443E-2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5">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1.0000000000670759</v>
      </c>
      <c r="N19" s="585">
        <f t="shared" si="5"/>
        <v>-1.1582395419901753E-5</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86.490870394946739</v>
      </c>
      <c r="X19" s="590">
        <f t="shared" si="13"/>
        <v>-72.383739737739631</v>
      </c>
      <c r="Y19" s="593">
        <f t="shared" si="14"/>
        <v>107.61626026226037</v>
      </c>
      <c r="AA19" s="150">
        <f t="shared" si="15"/>
        <v>1000000000</v>
      </c>
      <c r="AB19" s="150">
        <f t="shared" si="16"/>
        <v>3.0199488400000001</v>
      </c>
      <c r="AD19" s="592">
        <f t="shared" si="17"/>
        <v>84.838650524535723</v>
      </c>
      <c r="AE19" s="593">
        <f t="shared" si="18"/>
        <v>-72.284735774211526</v>
      </c>
      <c r="AG19" s="592">
        <f t="shared" si="19"/>
        <v>27.047112930866078</v>
      </c>
      <c r="AH19" s="593">
        <f t="shared" si="20"/>
        <v>-9.6501530481040515E-2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5">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1.0000000000806464</v>
      </c>
      <c r="N20" s="585">
        <f t="shared" si="5"/>
        <v>-1.2700111907252344E-5</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85.758324250698564</v>
      </c>
      <c r="X20" s="590">
        <f t="shared" si="13"/>
        <v>-73.853899955434031</v>
      </c>
      <c r="Y20" s="593">
        <f t="shared" si="14"/>
        <v>106.14610004456597</v>
      </c>
      <c r="AA20" s="150">
        <f t="shared" si="15"/>
        <v>1000000000</v>
      </c>
      <c r="AB20" s="150">
        <f t="shared" si="16"/>
        <v>3.63093025</v>
      </c>
      <c r="AD20" s="592">
        <f t="shared" si="17"/>
        <v>84.106106906189126</v>
      </c>
      <c r="AE20" s="593">
        <f t="shared" si="18"/>
        <v>-73.745341999671879</v>
      </c>
      <c r="AG20" s="592">
        <f t="shared" si="19"/>
        <v>27.047110405517493</v>
      </c>
      <c r="AH20" s="593">
        <f t="shared" si="20"/>
        <v>-0.10581403587435644</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5">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1.0000000000969547</v>
      </c>
      <c r="N21" s="585">
        <f t="shared" si="5"/>
        <v>-1.3925134509332898E-5</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85.015533599195763</v>
      </c>
      <c r="X21" s="590">
        <f t="shared" si="13"/>
        <v>-75.213879690038027</v>
      </c>
      <c r="Y21" s="593">
        <f t="shared" si="14"/>
        <v>104.78612030996197</v>
      </c>
      <c r="AA21" s="150">
        <f t="shared" si="15"/>
        <v>1000000000</v>
      </c>
      <c r="AB21" s="150">
        <f t="shared" si="16"/>
        <v>4.3651744900000002</v>
      </c>
      <c r="AD21" s="592">
        <f t="shared" si="17"/>
        <v>83.363319290175554</v>
      </c>
      <c r="AE21" s="593">
        <f t="shared" si="18"/>
        <v>-75.09485051982081</v>
      </c>
      <c r="AG21" s="592">
        <f t="shared" si="19"/>
        <v>27.047107370692807</v>
      </c>
      <c r="AH21" s="593">
        <f t="shared" si="20"/>
        <v>-0.11602057968236494</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5">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1.0000000001165681</v>
      </c>
      <c r="N22" s="585">
        <f t="shared" si="5"/>
        <v>-1.52687936854514E-5</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84.263469928296914</v>
      </c>
      <c r="X22" s="590">
        <f t="shared" si="13"/>
        <v>-76.470152159105936</v>
      </c>
      <c r="Y22" s="593">
        <f t="shared" si="14"/>
        <v>103.52984784089406</v>
      </c>
      <c r="AA22" s="150">
        <f t="shared" si="15"/>
        <v>1000000000</v>
      </c>
      <c r="AB22" s="150">
        <f t="shared" si="16"/>
        <v>5.2482228100000006</v>
      </c>
      <c r="AD22" s="592">
        <f t="shared" si="17"/>
        <v>82.611259269944242</v>
      </c>
      <c r="AE22" s="593">
        <f t="shared" si="18"/>
        <v>-76.339637702831524</v>
      </c>
      <c r="AG22" s="592">
        <f t="shared" si="19"/>
        <v>27.047103720824502</v>
      </c>
      <c r="AH22" s="593">
        <f t="shared" si="20"/>
        <v>-0.12721555957543249</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5">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1.000000000140143</v>
      </c>
      <c r="N23" s="585">
        <f t="shared" si="5"/>
        <v>-1.6741753397303492E-5</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83.503904945375552</v>
      </c>
      <c r="X23" s="590">
        <f t="shared" si="13"/>
        <v>-77.62782353115378</v>
      </c>
      <c r="Y23" s="593">
        <f t="shared" si="14"/>
        <v>102.37217646884622</v>
      </c>
      <c r="AA23" s="150">
        <f t="shared" si="15"/>
        <v>1000000000</v>
      </c>
      <c r="AB23" s="150">
        <f t="shared" si="16"/>
        <v>6.309641609999999</v>
      </c>
      <c r="AD23" s="592">
        <f t="shared" si="17"/>
        <v>81.851698675099385</v>
      </c>
      <c r="AE23" s="593">
        <f t="shared" si="18"/>
        <v>-77.484718570715032</v>
      </c>
      <c r="AG23" s="592">
        <f t="shared" si="19"/>
        <v>27.047099333708701</v>
      </c>
      <c r="AH23" s="593">
        <f t="shared" si="20"/>
        <v>-0.1394878241205558</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5">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1.0000000001684839</v>
      </c>
      <c r="N24" s="585">
        <f t="shared" si="5"/>
        <v>-1.8356677099399693E-5</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82.737897455481601</v>
      </c>
      <c r="X24" s="590">
        <f t="shared" si="13"/>
        <v>-78.693161063540728</v>
      </c>
      <c r="Y24" s="593">
        <f t="shared" si="14"/>
        <v>101.30683893645927</v>
      </c>
      <c r="AA24" s="150">
        <f t="shared" si="15"/>
        <v>1000000000</v>
      </c>
      <c r="AB24" s="150">
        <f t="shared" si="16"/>
        <v>7.5856176399999997</v>
      </c>
      <c r="AD24" s="592">
        <f t="shared" si="17"/>
        <v>81.085696460290237</v>
      </c>
      <c r="AE24" s="593">
        <f t="shared" si="18"/>
        <v>-78.536252140095698</v>
      </c>
      <c r="AG24" s="592">
        <f t="shared" si="19"/>
        <v>27.047094059778757</v>
      </c>
      <c r="AH24" s="593">
        <f t="shared" si="20"/>
        <v>-0.15294287562941686</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5">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1.0000000002025726</v>
      </c>
      <c r="N25" s="585">
        <f t="shared" si="5"/>
        <v>-2.0128227739062961E-5</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81.966041970645435</v>
      </c>
      <c r="X25" s="590">
        <f t="shared" si="13"/>
        <v>-79.672788434823303</v>
      </c>
      <c r="Y25" s="593">
        <f t="shared" si="14"/>
        <v>100.3272115651767</v>
      </c>
      <c r="AA25" s="150">
        <f t="shared" si="15"/>
        <v>1000000000</v>
      </c>
      <c r="AB25" s="150">
        <f t="shared" si="16"/>
        <v>9.1204000000000001</v>
      </c>
      <c r="AD25" s="592">
        <f t="shared" si="17"/>
        <v>80.31384732047627</v>
      </c>
      <c r="AE25" s="593">
        <f t="shared" si="18"/>
        <v>-79.500736760503372</v>
      </c>
      <c r="AG25" s="592">
        <f t="shared" si="19"/>
        <v>27.047087716145619</v>
      </c>
      <c r="AH25" s="593">
        <f t="shared" si="20"/>
        <v>-0.16770287522822994</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5">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1.0000000002435367</v>
      </c>
      <c r="N26" s="585">
        <f t="shared" si="5"/>
        <v>-2.2069735268390401E-5</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81.189939716474328</v>
      </c>
      <c r="X26" s="590">
        <f t="shared" si="13"/>
        <v>-80.571806747287852</v>
      </c>
      <c r="Y26" s="593">
        <f t="shared" si="14"/>
        <v>99.428193252712148</v>
      </c>
      <c r="AA26" s="150">
        <f t="shared" si="15"/>
        <v>1000000000</v>
      </c>
      <c r="AB26" s="150">
        <f t="shared" si="16"/>
        <v>10.964707690000001</v>
      </c>
      <c r="AD26" s="592">
        <f t="shared" si="17"/>
        <v>79.537752690939655</v>
      </c>
      <c r="AE26" s="593">
        <f t="shared" si="18"/>
        <v>-80.383159600869149</v>
      </c>
      <c r="AG26" s="592">
        <f t="shared" si="19"/>
        <v>27.047080093180419</v>
      </c>
      <c r="AH26" s="593">
        <f t="shared" si="20"/>
        <v>-0.18387887533135361</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5">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1.0000000002928005</v>
      </c>
      <c r="N27" s="585">
        <f t="shared" si="5"/>
        <v>-2.419919512271318E-5</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80.409705516183891</v>
      </c>
      <c r="X27" s="590">
        <f t="shared" si="13"/>
        <v>-81.396832809617877</v>
      </c>
      <c r="Y27" s="593">
        <f t="shared" si="14"/>
        <v>98.603167190382123</v>
      </c>
      <c r="AA27" s="150">
        <f t="shared" si="15"/>
        <v>1000000000</v>
      </c>
      <c r="AB27" s="150">
        <f t="shared" si="16"/>
        <v>13.182708639999998</v>
      </c>
      <c r="AD27" s="592">
        <f t="shared" si="17"/>
        <v>78.757527660167895</v>
      </c>
      <c r="AE27" s="593">
        <f t="shared" si="18"/>
        <v>-81.189983660507977</v>
      </c>
      <c r="AG27" s="592">
        <f t="shared" si="19"/>
        <v>27.047070925669235</v>
      </c>
      <c r="AH27" s="593">
        <f t="shared" si="20"/>
        <v>-0.20162079739069325</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5">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1.0000000003520249</v>
      </c>
      <c r="N28" s="585">
        <f t="shared" si="5"/>
        <v>-2.6533936239734958E-5</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79.626260528429398</v>
      </c>
      <c r="X28" s="590">
        <f t="shared" si="13"/>
        <v>-82.15317290390638</v>
      </c>
      <c r="Y28" s="593">
        <f t="shared" si="14"/>
        <v>97.84682709609362</v>
      </c>
      <c r="AA28" s="150">
        <f t="shared" si="15"/>
        <v>1000000000</v>
      </c>
      <c r="AB28" s="150">
        <f t="shared" si="16"/>
        <v>15.849157210000001</v>
      </c>
      <c r="AD28" s="592">
        <f t="shared" si="17"/>
        <v>77.974093695850087</v>
      </c>
      <c r="AE28" s="593">
        <f t="shared" si="18"/>
        <v>-81.926367113398342</v>
      </c>
      <c r="AG28" s="592">
        <f t="shared" si="19"/>
        <v>27.047059904645863</v>
      </c>
      <c r="AH28" s="593">
        <f t="shared" si="20"/>
        <v>-0.22107300667675481</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5">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1.000000000423229</v>
      </c>
      <c r="N29" s="585">
        <f t="shared" si="5"/>
        <v>-2.9093953547560435E-5</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78.840068583505712</v>
      </c>
      <c r="X29" s="590">
        <f t="shared" si="13"/>
        <v>-82.846275684440315</v>
      </c>
      <c r="Y29" s="593">
        <f t="shared" si="14"/>
        <v>97.153724315559685</v>
      </c>
      <c r="AA29" s="150">
        <f t="shared" si="15"/>
        <v>1000000000</v>
      </c>
      <c r="AB29" s="150">
        <f t="shared" si="16"/>
        <v>19.054971039999998</v>
      </c>
      <c r="AD29" s="592">
        <f t="shared" si="17"/>
        <v>77.187915004130488</v>
      </c>
      <c r="AE29" s="593">
        <f t="shared" si="18"/>
        <v>-82.597587721856797</v>
      </c>
      <c r="AG29" s="592">
        <f t="shared" si="19"/>
        <v>27.047046654343312</v>
      </c>
      <c r="AH29" s="593">
        <f t="shared" si="20"/>
        <v>-0.24240207515685816</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5">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1.0000000005088232</v>
      </c>
      <c r="N30" s="585">
        <f t="shared" si="5"/>
        <v>-3.1900574969472732E-5</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78.051686103991514</v>
      </c>
      <c r="X30" s="590">
        <f t="shared" si="13"/>
        <v>-83.48113964044127</v>
      </c>
      <c r="Y30" s="593">
        <f t="shared" si="14"/>
        <v>96.51886035955873</v>
      </c>
      <c r="AA30" s="150">
        <f t="shared" si="15"/>
        <v>1000000000</v>
      </c>
      <c r="AB30" s="150">
        <f t="shared" si="16"/>
        <v>22.908667689999998</v>
      </c>
      <c r="AD30" s="592">
        <f t="shared" si="17"/>
        <v>76.399548456189152</v>
      </c>
      <c r="AE30" s="593">
        <f t="shared" si="18"/>
        <v>-83.20846169488928</v>
      </c>
      <c r="AG30" s="592">
        <f t="shared" si="19"/>
        <v>27.047030726258356</v>
      </c>
      <c r="AH30" s="593">
        <f t="shared" si="20"/>
        <v>-0.26578567388302826</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5">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1.0000000006117462</v>
      </c>
      <c r="N31" s="585">
        <f t="shared" si="5"/>
        <v>-3.4978460916742046E-5</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77.261257682780609</v>
      </c>
      <c r="X31" s="590">
        <f t="shared" si="13"/>
        <v>-84.062726456897551</v>
      </c>
      <c r="Y31" s="593">
        <f t="shared" si="14"/>
        <v>95.937273543102449</v>
      </c>
      <c r="AA31" s="150">
        <f t="shared" si="15"/>
        <v>1000000000</v>
      </c>
      <c r="AB31" s="150">
        <f t="shared" si="16"/>
        <v>27.542553609999999</v>
      </c>
      <c r="AD31" s="592">
        <f t="shared" si="17"/>
        <v>75.60913919185532</v>
      </c>
      <c r="AE31" s="593">
        <f t="shared" si="18"/>
        <v>-83.763739961526781</v>
      </c>
      <c r="AG31" s="592">
        <f t="shared" si="19"/>
        <v>27.047011573575332</v>
      </c>
      <c r="AH31" s="593">
        <f t="shared" si="20"/>
        <v>-0.29142923123674414</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5">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1.0000000007354739</v>
      </c>
      <c r="N32" s="585">
        <f t="shared" si="5"/>
        <v>-3.8352938298183692E-5</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76.469308981588057</v>
      </c>
      <c r="X32" s="590">
        <f t="shared" si="13"/>
        <v>-84.595345820017272</v>
      </c>
      <c r="Y32" s="593">
        <f t="shared" si="14"/>
        <v>95.404654179982728</v>
      </c>
      <c r="AA32" s="150">
        <f t="shared" si="15"/>
        <v>1000000000</v>
      </c>
      <c r="AB32" s="150">
        <f t="shared" si="16"/>
        <v>33.113119360000006</v>
      </c>
      <c r="AD32" s="592">
        <f t="shared" si="17"/>
        <v>74.817213519741813</v>
      </c>
      <c r="AE32" s="593">
        <f t="shared" si="18"/>
        <v>-84.267515766203644</v>
      </c>
      <c r="AG32" s="592">
        <f t="shared" si="19"/>
        <v>27.046988549538142</v>
      </c>
      <c r="AH32" s="593">
        <f t="shared" si="20"/>
        <v>-0.3195437176057852</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5">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1.0000000008842413</v>
      </c>
      <c r="N33" s="585">
        <f t="shared" si="5"/>
        <v>-4.2053333008171045E-5</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75.675944482548559</v>
      </c>
      <c r="X33" s="590">
        <f t="shared" si="13"/>
        <v>-85.083271053643344</v>
      </c>
      <c r="Y33" s="593">
        <f t="shared" si="14"/>
        <v>94.916728946356656</v>
      </c>
      <c r="AA33" s="150">
        <f t="shared" si="15"/>
        <v>1000000000</v>
      </c>
      <c r="AB33" s="150">
        <f t="shared" si="16"/>
        <v>39.811052159999996</v>
      </c>
      <c r="AD33" s="592">
        <f t="shared" si="17"/>
        <v>74.023876710227967</v>
      </c>
      <c r="AE33" s="593">
        <f t="shared" si="18"/>
        <v>-84.723811823321199</v>
      </c>
      <c r="AG33" s="592">
        <f t="shared" si="19"/>
        <v>27.046960866074695</v>
      </c>
      <c r="AH33" s="593">
        <f t="shared" si="20"/>
        <v>-0.3503734058982626</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5">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1.0000000010630801</v>
      </c>
      <c r="N34" s="585">
        <f t="shared" si="5"/>
        <v>-4.6110303936183361E-5</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74.881545149369714</v>
      </c>
      <c r="X34" s="590">
        <f t="shared" si="13"/>
        <v>-85.530273947475095</v>
      </c>
      <c r="Y34" s="593">
        <f t="shared" si="14"/>
        <v>94.469726052524905</v>
      </c>
      <c r="AA34" s="150">
        <f t="shared" si="15"/>
        <v>1000000000</v>
      </c>
      <c r="AB34" s="150">
        <f t="shared" si="16"/>
        <v>47.862874890000008</v>
      </c>
      <c r="AD34" s="592">
        <f t="shared" si="17"/>
        <v>73.229510663376971</v>
      </c>
      <c r="AE34" s="593">
        <f t="shared" si="18"/>
        <v>-85.136137939283287</v>
      </c>
      <c r="AG34" s="592">
        <f t="shared" si="19"/>
        <v>27.046927587034411</v>
      </c>
      <c r="AH34" s="593">
        <f t="shared" si="20"/>
        <v>-0.3841736564231864</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5">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1.0000000012781149</v>
      </c>
      <c r="N35" s="585">
        <f t="shared" si="5"/>
        <v>-5.0559175454801887E-5</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74.086124069627814</v>
      </c>
      <c r="X35" s="590">
        <f t="shared" si="13"/>
        <v>-85.94003860659744</v>
      </c>
      <c r="Y35" s="593">
        <f t="shared" si="14"/>
        <v>94.05996139340256</v>
      </c>
      <c r="AA35" s="150">
        <f t="shared" si="15"/>
        <v>1000000000</v>
      </c>
      <c r="AB35" s="150">
        <f t="shared" si="16"/>
        <v>57.544361639999998</v>
      </c>
      <c r="AD35" s="592">
        <f t="shared" si="17"/>
        <v>72.434129606674944</v>
      </c>
      <c r="AE35" s="593">
        <f t="shared" si="18"/>
        <v>-85.507876381764149</v>
      </c>
      <c r="AG35" s="592">
        <f t="shared" si="19"/>
        <v>27.046887572757026</v>
      </c>
      <c r="AH35" s="593">
        <f t="shared" si="20"/>
        <v>-0.42123867297510464</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5">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1.0000000015366086</v>
      </c>
      <c r="N36" s="585">
        <f t="shared" si="5"/>
        <v>-5.5436604931634179E-5</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73.290030326423249</v>
      </c>
      <c r="X36" s="590">
        <f t="shared" si="13"/>
        <v>-86.31578606366736</v>
      </c>
      <c r="Y36" s="593">
        <f t="shared" si="14"/>
        <v>93.68421393633264</v>
      </c>
      <c r="AA36" s="150">
        <f t="shared" si="15"/>
        <v>1000000000</v>
      </c>
      <c r="AB36" s="150">
        <f t="shared" si="16"/>
        <v>69.182469760000004</v>
      </c>
      <c r="AD36" s="592">
        <f t="shared" si="17"/>
        <v>71.638083974649163</v>
      </c>
      <c r="AE36" s="593">
        <f t="shared" si="18"/>
        <v>-85.841934986832243</v>
      </c>
      <c r="AG36" s="592">
        <f t="shared" si="19"/>
        <v>27.046839472111674</v>
      </c>
      <c r="AH36" s="593">
        <f t="shared" si="20"/>
        <v>-0.46187373282355093</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5">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1.0000000018474231</v>
      </c>
      <c r="N37" s="585">
        <f t="shared" si="5"/>
        <v>-6.0785248212493292E-5</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72.493188013032167</v>
      </c>
      <c r="X37" s="590">
        <f t="shared" si="13"/>
        <v>-86.660683372400953</v>
      </c>
      <c r="Y37" s="593">
        <f t="shared" si="14"/>
        <v>93.339316627599047</v>
      </c>
      <c r="AA37" s="150">
        <f t="shared" si="15"/>
        <v>1000000000</v>
      </c>
      <c r="AB37" s="150">
        <f t="shared" si="16"/>
        <v>83.176224010000013</v>
      </c>
      <c r="AD37" s="592">
        <f t="shared" si="17"/>
        <v>70.841299509818498</v>
      </c>
      <c r="AE37" s="593">
        <f t="shared" si="18"/>
        <v>-86.141116384414218</v>
      </c>
      <c r="AG37" s="592">
        <f t="shared" si="19"/>
        <v>27.046781636216778</v>
      </c>
      <c r="AH37" s="593">
        <f t="shared" si="20"/>
        <v>-0.50643404405715731</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5">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1.0000000022210953</v>
      </c>
      <c r="N38" s="585">
        <f t="shared" si="5"/>
        <v>-6.6649760635684678E-5</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71.695825663448957</v>
      </c>
      <c r="X38" s="590">
        <f t="shared" si="13"/>
        <v>-86.977509992308029</v>
      </c>
      <c r="Y38" s="593">
        <f t="shared" si="14"/>
        <v>93.022490007691971</v>
      </c>
      <c r="AA38" s="150">
        <f t="shared" si="15"/>
        <v>1000000000</v>
      </c>
      <c r="AB38" s="150">
        <f t="shared" si="16"/>
        <v>100</v>
      </c>
      <c r="AD38" s="592">
        <f t="shared" si="17"/>
        <v>70.044006706758111</v>
      </c>
      <c r="AE38" s="593">
        <f t="shared" si="18"/>
        <v>-86.4078185777893</v>
      </c>
      <c r="AG38" s="592">
        <f t="shared" si="19"/>
        <v>27.046712104920879</v>
      </c>
      <c r="AH38" s="593">
        <f t="shared" si="20"/>
        <v>-0.55529141441575014</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5">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1.0000000026704501</v>
      </c>
      <c r="N39" s="585">
        <f t="shared" si="5"/>
        <v>-7.3081462515135255E-5</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70.897844776239651</v>
      </c>
      <c r="X39" s="590">
        <f t="shared" si="13"/>
        <v>-87.268954042486726</v>
      </c>
      <c r="Y39" s="593">
        <f t="shared" si="14"/>
        <v>92.731045957513274</v>
      </c>
      <c r="AA39" s="150">
        <f t="shared" si="15"/>
        <v>1000000000</v>
      </c>
      <c r="AB39" s="150">
        <f t="shared" si="16"/>
        <v>120.23122499999999</v>
      </c>
      <c r="AD39" s="592">
        <f t="shared" si="17"/>
        <v>69.246109450390207</v>
      </c>
      <c r="AE39" s="593">
        <f t="shared" si="18"/>
        <v>-86.644291340770508</v>
      </c>
      <c r="AG39" s="592">
        <f t="shared" si="19"/>
        <v>27.046628492390422</v>
      </c>
      <c r="AH39" s="593">
        <f t="shared" si="20"/>
        <v>-0.60887310201333744</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5">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1.0000000032106493</v>
      </c>
      <c r="N40" s="585">
        <f t="shared" si="5"/>
        <v>-8.0133007159419718E-5</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70.099571774259687</v>
      </c>
      <c r="X40" s="590">
        <f t="shared" si="13"/>
        <v>-87.537341167983286</v>
      </c>
      <c r="Y40" s="593">
        <f t="shared" si="14"/>
        <v>92.462658832016714</v>
      </c>
      <c r="AA40" s="150">
        <f t="shared" si="15"/>
        <v>1000000000</v>
      </c>
      <c r="AB40" s="150">
        <f t="shared" si="16"/>
        <v>144.55252899999999</v>
      </c>
      <c r="AD40" s="592">
        <f t="shared" si="17"/>
        <v>68.447936984487342</v>
      </c>
      <c r="AE40" s="593">
        <f t="shared" si="18"/>
        <v>-86.852410679677504</v>
      </c>
      <c r="AG40" s="592">
        <f t="shared" si="19"/>
        <v>27.046527978326139</v>
      </c>
      <c r="AH40" s="593">
        <f t="shared" si="20"/>
        <v>-0.66761736823496365</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5">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1.0000000038600745</v>
      </c>
      <c r="N41" s="585">
        <f t="shared" si="5"/>
        <v>-8.7864379350017854E-5</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69.301035656300428</v>
      </c>
      <c r="X41" s="590">
        <f t="shared" si="13"/>
        <v>-87.784926758601841</v>
      </c>
      <c r="Y41" s="593">
        <f t="shared" si="14"/>
        <v>92.215073241398159</v>
      </c>
      <c r="AA41" s="150">
        <f t="shared" si="15"/>
        <v>1000000000</v>
      </c>
      <c r="AB41" s="150">
        <f t="shared" si="16"/>
        <v>173.79148899999998</v>
      </c>
      <c r="AD41" s="592">
        <f t="shared" si="17"/>
        <v>67.649521727458051</v>
      </c>
      <c r="AE41" s="593">
        <f t="shared" si="18"/>
        <v>-87.033919818342724</v>
      </c>
      <c r="AG41" s="592">
        <f t="shared" si="19"/>
        <v>27.046407143859867</v>
      </c>
      <c r="AH41" s="593">
        <f t="shared" si="20"/>
        <v>-0.73202342053836067</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5">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1.0000000046402704</v>
      </c>
      <c r="N42" s="585">
        <f t="shared" si="5"/>
        <v>-9.6335563867450241E-5</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68.502782278626768</v>
      </c>
      <c r="X42" s="590">
        <f t="shared" si="13"/>
        <v>-88.013649593024653</v>
      </c>
      <c r="Y42" s="593">
        <f t="shared" si="14"/>
        <v>91.986350406975347</v>
      </c>
      <c r="AA42" s="150">
        <f t="shared" si="15"/>
        <v>1000000000</v>
      </c>
      <c r="AB42" s="150">
        <f t="shared" si="16"/>
        <v>208.91811600000003</v>
      </c>
      <c r="AD42" s="592">
        <f t="shared" si="17"/>
        <v>66.851413543279079</v>
      </c>
      <c r="AE42" s="593">
        <f t="shared" si="18"/>
        <v>-87.190245540481655</v>
      </c>
      <c r="AG42" s="592">
        <f t="shared" si="19"/>
        <v>27.046261982157706</v>
      </c>
      <c r="AH42" s="593">
        <f t="shared" si="20"/>
        <v>-0.80259029287553008</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5">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1.0000000055791871</v>
      </c>
      <c r="N43" s="585">
        <f t="shared" si="5"/>
        <v>-1.0563320539501265E-4</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67.703502539311074</v>
      </c>
      <c r="X43" s="590">
        <f t="shared" si="13"/>
        <v>-88.225807404445447</v>
      </c>
      <c r="Y43" s="593">
        <f t="shared" si="14"/>
        <v>91.774192595554553</v>
      </c>
      <c r="AA43" s="150">
        <f t="shared" si="15"/>
        <v>1000000000</v>
      </c>
      <c r="AB43" s="150">
        <f t="shared" si="16"/>
        <v>251.19080099999999</v>
      </c>
      <c r="AD43" s="592">
        <f t="shared" si="17"/>
        <v>66.052308528762111</v>
      </c>
      <c r="AE43" s="593">
        <f t="shared" si="18"/>
        <v>-87.322945973846316</v>
      </c>
      <c r="AG43" s="592">
        <f t="shared" si="19"/>
        <v>27.046087295619252</v>
      </c>
      <c r="AH43" s="593">
        <f t="shared" si="20"/>
        <v>-0.88003887058734098</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5">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1.000000006707594</v>
      </c>
      <c r="N44" s="585">
        <f t="shared" si="5"/>
        <v>-1.1582395368626348E-4</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66.904346678727805</v>
      </c>
      <c r="X44" s="590">
        <f t="shared" si="13"/>
        <v>-88.422870751461474</v>
      </c>
      <c r="Y44" s="593">
        <f t="shared" si="14"/>
        <v>91.577129248538526</v>
      </c>
      <c r="AA44" s="150">
        <f t="shared" si="15"/>
        <v>1000000000</v>
      </c>
      <c r="AB44" s="150">
        <f t="shared" si="16"/>
        <v>301.99488400000001</v>
      </c>
      <c r="AD44" s="592">
        <f t="shared" si="17"/>
        <v>65.253362646326167</v>
      </c>
      <c r="AE44" s="593">
        <f t="shared" si="18"/>
        <v>-87.432923257294249</v>
      </c>
      <c r="AG44" s="592">
        <f t="shared" si="19"/>
        <v>27.045877363453815</v>
      </c>
      <c r="AH44" s="593">
        <f t="shared" si="20"/>
        <v>-0.96492317451184595</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5">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1.0000000080646421</v>
      </c>
      <c r="N45" s="585">
        <f t="shared" si="5"/>
        <v>-1.2700111839653919E-4</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66.104800100143251</v>
      </c>
      <c r="X45" s="590">
        <f t="shared" si="13"/>
        <v>-88.606635516769643</v>
      </c>
      <c r="Y45" s="593">
        <f t="shared" si="14"/>
        <v>91.393364483230357</v>
      </c>
      <c r="AA45" s="150">
        <f t="shared" si="15"/>
        <v>1000000000</v>
      </c>
      <c r="AB45" s="150">
        <f t="shared" si="16"/>
        <v>363.09302500000001</v>
      </c>
      <c r="AD45" s="592">
        <f t="shared" si="17"/>
        <v>64.454068578774027</v>
      </c>
      <c r="AE45" s="593">
        <f t="shared" si="18"/>
        <v>-87.521177420581751</v>
      </c>
      <c r="AG45" s="592">
        <f t="shared" si="19"/>
        <v>27.045624907720317</v>
      </c>
      <c r="AH45" s="593">
        <f t="shared" si="20"/>
        <v>-1.0580188963337789</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5">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1.0000000096954684</v>
      </c>
      <c r="N46" s="585">
        <f t="shared" si="5"/>
        <v>-1.3925134420225831E-4</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65.305454812374094</v>
      </c>
      <c r="X46" s="590">
        <f t="shared" si="13"/>
        <v>-88.778521776211292</v>
      </c>
      <c r="Y46" s="593">
        <f t="shared" si="14"/>
        <v>91.221478223788708</v>
      </c>
      <c r="AA46" s="150">
        <f t="shared" si="15"/>
        <v>1000000000</v>
      </c>
      <c r="AB46" s="150">
        <f t="shared" si="16"/>
        <v>436.51744900000006</v>
      </c>
      <c r="AD46" s="592">
        <f t="shared" si="17"/>
        <v>63.655026725615052</v>
      </c>
      <c r="AE46" s="593">
        <f t="shared" si="18"/>
        <v>-87.588390169028273</v>
      </c>
      <c r="AG46" s="592">
        <f t="shared" si="19"/>
        <v>27.045321539565315</v>
      </c>
      <c r="AH46" s="593">
        <f t="shared" si="20"/>
        <v>-1.1600456874028338</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5">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1.0000000116568031</v>
      </c>
      <c r="N47" s="585">
        <f t="shared" si="5"/>
        <v>-1.5268793567981093E-4</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64.505712195107989</v>
      </c>
      <c r="X47" s="590">
        <f t="shared" si="13"/>
        <v>-88.940114107637072</v>
      </c>
      <c r="Y47" s="593">
        <f t="shared" si="14"/>
        <v>91.059885892362928</v>
      </c>
      <c r="AA47" s="150">
        <f t="shared" si="15"/>
        <v>1000000000</v>
      </c>
      <c r="AB47" s="150">
        <f t="shared" si="16"/>
        <v>524.82228100000009</v>
      </c>
      <c r="AD47" s="592">
        <f t="shared" si="17"/>
        <v>62.855649009827623</v>
      </c>
      <c r="AE47" s="593">
        <f t="shared" si="18"/>
        <v>-87.635180601415982</v>
      </c>
      <c r="AG47" s="592">
        <f t="shared" si="19"/>
        <v>27.044956718009857</v>
      </c>
      <c r="AH47" s="593">
        <f t="shared" si="20"/>
        <v>-1.2719445466139689</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5">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1.0000000140143153</v>
      </c>
      <c r="N48" s="585">
        <f t="shared" si="5"/>
        <v>-1.6741753242451517E-4</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63.706036201594038</v>
      </c>
      <c r="X48" s="590">
        <f t="shared" si="13"/>
        <v>-89.092683255395599</v>
      </c>
      <c r="Y48" s="593">
        <f t="shared" si="14"/>
        <v>90.907316744604401</v>
      </c>
      <c r="AA48" s="150">
        <f t="shared" si="15"/>
        <v>1000000000</v>
      </c>
      <c r="AB48" s="150">
        <f t="shared" si="16"/>
        <v>630.96416099999999</v>
      </c>
      <c r="AD48" s="592">
        <f t="shared" si="17"/>
        <v>62.056411585143152</v>
      </c>
      <c r="AE48" s="593">
        <f t="shared" si="18"/>
        <v>-87.661911850459774</v>
      </c>
      <c r="AG48" s="592">
        <f t="shared" si="19"/>
        <v>27.044518245247588</v>
      </c>
      <c r="AH48" s="593">
        <f t="shared" si="20"/>
        <v>-1.3946000456271039</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5">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1.0000000168483796</v>
      </c>
      <c r="N49" s="585">
        <f t="shared" si="5"/>
        <v>-1.8356676895274723E-4</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62.906314789601097</v>
      </c>
      <c r="X49" s="590">
        <f t="shared" si="13"/>
        <v>-89.237544262102389</v>
      </c>
      <c r="Y49" s="593">
        <f t="shared" si="14"/>
        <v>90.762455737897611</v>
      </c>
      <c r="AA49" s="150">
        <f t="shared" si="15"/>
        <v>1000000000</v>
      </c>
      <c r="AB49" s="150">
        <f t="shared" si="16"/>
        <v>758.56176400000004</v>
      </c>
      <c r="AD49" s="592">
        <f t="shared" si="17"/>
        <v>61.257217336515055</v>
      </c>
      <c r="AE49" s="593">
        <f t="shared" si="18"/>
        <v>-87.668821718458716</v>
      </c>
      <c r="AG49" s="592">
        <f t="shared" si="19"/>
        <v>27.043991197369188</v>
      </c>
      <c r="AH49" s="593">
        <f t="shared" si="20"/>
        <v>-1.5290620643716926</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5">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1.0000000202572774</v>
      </c>
      <c r="N50" s="585">
        <f t="shared" si="5"/>
        <v>-2.0128227469952525E-4</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62.106124252611025</v>
      </c>
      <c r="X50" s="590">
        <f t="shared" si="13"/>
        <v>-89.375994064463583</v>
      </c>
      <c r="Y50" s="593">
        <f t="shared" si="14"/>
        <v>90.624005935536417</v>
      </c>
      <c r="AA50" s="150">
        <f t="shared" si="15"/>
        <v>1000000000</v>
      </c>
      <c r="AB50" s="150">
        <f t="shared" si="16"/>
        <v>912.04</v>
      </c>
      <c r="AD50" s="592">
        <f t="shared" si="17"/>
        <v>60.457660802729819</v>
      </c>
      <c r="AE50" s="593">
        <f t="shared" si="18"/>
        <v>-87.655960706108488</v>
      </c>
      <c r="AG50" s="592">
        <f t="shared" si="19"/>
        <v>27.043357333074866</v>
      </c>
      <c r="AH50" s="593">
        <f t="shared" si="20"/>
        <v>-1.6765453593431479</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5">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1.0000000243536604</v>
      </c>
      <c r="N51" s="585">
        <f t="shared" si="5"/>
        <v>-2.2069734913654371E-4</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61.306230379176149</v>
      </c>
      <c r="X51" s="590">
        <f t="shared" si="13"/>
        <v>-89.509068634535424</v>
      </c>
      <c r="Y51" s="593">
        <f t="shared" si="14"/>
        <v>90.490931365464576</v>
      </c>
      <c r="AA51" s="150">
        <f t="shared" si="15"/>
        <v>1000000000</v>
      </c>
      <c r="AB51" s="150">
        <f t="shared" si="16"/>
        <v>1096.470769</v>
      </c>
      <c r="AD51" s="592">
        <f t="shared" si="17"/>
        <v>59.658528671910112</v>
      </c>
      <c r="AE51" s="593">
        <f t="shared" si="18"/>
        <v>-87.623234292360593</v>
      </c>
      <c r="AG51" s="592">
        <f t="shared" si="19"/>
        <v>27.042595757384852</v>
      </c>
      <c r="AH51" s="593">
        <f t="shared" si="20"/>
        <v>-1.8381516235316235</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5">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1.0000000292800519</v>
      </c>
      <c r="N52" s="585">
        <f t="shared" si="5"/>
        <v>-2.419919465506776E-4</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60.505989186969899</v>
      </c>
      <c r="X52" s="590">
        <f t="shared" si="13"/>
        <v>-89.637998687364586</v>
      </c>
      <c r="Y52" s="593">
        <f t="shared" si="14"/>
        <v>90.362001312635414</v>
      </c>
      <c r="AA52" s="150">
        <f t="shared" si="15"/>
        <v>1000000000</v>
      </c>
      <c r="AB52" s="150">
        <f t="shared" si="16"/>
        <v>1318.2708640000001</v>
      </c>
      <c r="AD52" s="592">
        <f t="shared" si="17"/>
        <v>58.859203389556704</v>
      </c>
      <c r="AE52" s="593">
        <f t="shared" si="18"/>
        <v>-87.570347005947099</v>
      </c>
      <c r="AG52" s="592">
        <f t="shared" si="19"/>
        <v>27.041680048279488</v>
      </c>
      <c r="AH52" s="593">
        <f t="shared" si="20"/>
        <v>-2.0153681632117864</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5">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1.000000035202488</v>
      </c>
      <c r="N53" s="585">
        <f t="shared" si="5"/>
        <v>-2.6533935623254993E-4</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59.705700131042676</v>
      </c>
      <c r="X53" s="590">
        <f t="shared" si="13"/>
        <v>-89.7638190985449</v>
      </c>
      <c r="Y53" s="593">
        <f t="shared" si="14"/>
        <v>90.2361809014551</v>
      </c>
      <c r="AA53" s="150">
        <f t="shared" si="15"/>
        <v>1000000000</v>
      </c>
      <c r="AB53" s="150">
        <f t="shared" si="16"/>
        <v>1584.9157210000001</v>
      </c>
      <c r="AD53" s="592">
        <f t="shared" si="17"/>
        <v>58.060015171570811</v>
      </c>
      <c r="AE53" s="593">
        <f t="shared" si="18"/>
        <v>-87.496868114937143</v>
      </c>
      <c r="AG53" s="592">
        <f t="shared" si="19"/>
        <v>27.040579451673853</v>
      </c>
      <c r="AH53" s="593">
        <f t="shared" si="20"/>
        <v>-2.2096231458885773</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5">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1.0000000423229056</v>
      </c>
      <c r="N54" s="585">
        <f t="shared" si="5"/>
        <v>-2.9093952734875628E-4</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58.905287220129523</v>
      </c>
      <c r="X54" s="590">
        <f t="shared" si="13"/>
        <v>-89.887597863598955</v>
      </c>
      <c r="Y54" s="593">
        <f t="shared" si="14"/>
        <v>90.112402136401045</v>
      </c>
      <c r="AA54" s="150">
        <f t="shared" si="15"/>
        <v>1000000000</v>
      </c>
      <c r="AB54" s="150">
        <f t="shared" si="16"/>
        <v>1905.497104</v>
      </c>
      <c r="AD54" s="592">
        <f t="shared" si="17"/>
        <v>57.260925405205711</v>
      </c>
      <c r="AE54" s="593">
        <f t="shared" si="18"/>
        <v>-87.402177183976434</v>
      </c>
      <c r="AG54" s="592">
        <f t="shared" si="19"/>
        <v>27.039256597278548</v>
      </c>
      <c r="AH54" s="593">
        <f t="shared" si="20"/>
        <v>-2.4225618027129077</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5">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1.000000050882333</v>
      </c>
      <c r="N55" s="585">
        <f t="shared" si="5"/>
        <v>-3.1900573898176827E-4</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58.104849152339149</v>
      </c>
      <c r="X55" s="590">
        <f t="shared" si="13"/>
        <v>-90.010354768695706</v>
      </c>
      <c r="Y55" s="593">
        <f t="shared" si="14"/>
        <v>89.989645231304294</v>
      </c>
      <c r="AA55" s="150">
        <f t="shared" si="15"/>
        <v>1000000000</v>
      </c>
      <c r="AB55" s="150">
        <f t="shared" si="16"/>
        <v>2290.8667689999997</v>
      </c>
      <c r="AD55" s="592">
        <f t="shared" si="17"/>
        <v>56.462077351160076</v>
      </c>
      <c r="AE55" s="593">
        <f t="shared" si="18"/>
        <v>-87.285498097990541</v>
      </c>
      <c r="AG55" s="592">
        <f t="shared" si="19"/>
        <v>27.037666932325315</v>
      </c>
      <c r="AH55" s="593">
        <f t="shared" si="20"/>
        <v>-2.6559339547509166</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5">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1.0000000611746347</v>
      </c>
      <c r="N56" s="585">
        <f t="shared" si="5"/>
        <v>-3.4978459504477692E-4</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57.304134069504691</v>
      </c>
      <c r="X56" s="590">
        <f t="shared" si="13"/>
        <v>-90.133150141815264</v>
      </c>
      <c r="Y56" s="593">
        <f t="shared" si="14"/>
        <v>89.866849858184736</v>
      </c>
      <c r="AA56" s="150">
        <f t="shared" si="15"/>
        <v>1000000000</v>
      </c>
      <c r="AB56" s="150">
        <f t="shared" si="16"/>
        <v>2754.255361</v>
      </c>
      <c r="AD56" s="592">
        <f t="shared" si="17"/>
        <v>55.663273413392858</v>
      </c>
      <c r="AE56" s="593">
        <f t="shared" si="18"/>
        <v>-87.14581927718362</v>
      </c>
      <c r="AG56" s="592">
        <f t="shared" si="19"/>
        <v>27.035756206663102</v>
      </c>
      <c r="AH56" s="593">
        <f t="shared" si="20"/>
        <v>-2.911758230025622</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5">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1.0000000735473911</v>
      </c>
      <c r="N57" s="585">
        <f t="shared" si="5"/>
        <v>-3.835293643648314E-4</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56.503332711668861</v>
      </c>
      <c r="X57" s="590">
        <f t="shared" si="13"/>
        <v>-90.256970506205093</v>
      </c>
      <c r="Y57" s="593">
        <f t="shared" si="14"/>
        <v>89.743029493794907</v>
      </c>
      <c r="AA57" s="150">
        <f t="shared" si="15"/>
        <v>1000000000</v>
      </c>
      <c r="AB57" s="150">
        <f t="shared" si="16"/>
        <v>3311.3119360000005</v>
      </c>
      <c r="AD57" s="592">
        <f t="shared" si="17"/>
        <v>54.864768401267618</v>
      </c>
      <c r="AE57" s="593">
        <f t="shared" si="18"/>
        <v>-86.982009430082726</v>
      </c>
      <c r="AG57" s="592">
        <f t="shared" si="19"/>
        <v>27.033460365134765</v>
      </c>
      <c r="AH57" s="593">
        <f t="shared" si="20"/>
        <v>-3.192097723151941</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5">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1.0000000884241371</v>
      </c>
      <c r="N58" s="585">
        <f t="shared" si="5"/>
        <v>-4.2053330553941609E-4</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55.702255180609093</v>
      </c>
      <c r="X58" s="590">
        <f t="shared" si="13"/>
        <v>-90.382862028179687</v>
      </c>
      <c r="Y58" s="593">
        <f t="shared" si="14"/>
        <v>89.617137971820313</v>
      </c>
      <c r="AA58" s="150">
        <f t="shared" si="15"/>
        <v>1000000000</v>
      </c>
      <c r="AB58" s="150">
        <f t="shared" si="16"/>
        <v>3981.1052159999995</v>
      </c>
      <c r="AD58" s="592">
        <f t="shared" si="17"/>
        <v>54.066450342202124</v>
      </c>
      <c r="AE58" s="593">
        <f t="shared" si="18"/>
        <v>-86.792670352481139</v>
      </c>
      <c r="AG58" s="592">
        <f t="shared" si="19"/>
        <v>27.030701499358827</v>
      </c>
      <c r="AH58" s="593">
        <f t="shared" si="20"/>
        <v>-3.4993334450321365</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5">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1.0000001063080011</v>
      </c>
      <c r="N59" s="585">
        <f t="shared" si="5"/>
        <v>-4.6110300700933412E-4</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54.901027925092777</v>
      </c>
      <c r="X59" s="590">
        <f t="shared" si="13"/>
        <v>-90.511828585568452</v>
      </c>
      <c r="Y59" s="593">
        <f t="shared" si="14"/>
        <v>89.488171414431548</v>
      </c>
      <c r="AA59" s="150">
        <f t="shared" si="15"/>
        <v>1000000000</v>
      </c>
      <c r="AB59" s="150">
        <f t="shared" si="16"/>
        <v>4786.2874890000012</v>
      </c>
      <c r="AD59" s="592">
        <f t="shared" si="17"/>
        <v>53.26853802708095</v>
      </c>
      <c r="AE59" s="593">
        <f t="shared" si="18"/>
        <v>-86.576266874400673</v>
      </c>
      <c r="AG59" s="592">
        <f t="shared" si="19"/>
        <v>27.027387287720209</v>
      </c>
      <c r="AH59" s="593">
        <f t="shared" si="20"/>
        <v>-3.8359382034391354</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5">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1.0000001278115032</v>
      </c>
      <c r="N60" s="585">
        <f t="shared" si="5"/>
        <v>-5.0559171189853091E-4</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54.099435092413124</v>
      </c>
      <c r="X60" s="590">
        <f t="shared" si="13"/>
        <v>-90.644941519583355</v>
      </c>
      <c r="Y60" s="593">
        <f t="shared" si="14"/>
        <v>89.355058480416645</v>
      </c>
      <c r="AA60" s="150">
        <f t="shared" si="15"/>
        <v>1000000000</v>
      </c>
      <c r="AB60" s="150">
        <f t="shared" si="16"/>
        <v>5754.4361640000006</v>
      </c>
      <c r="AD60" s="592">
        <f t="shared" si="17"/>
        <v>52.470927721524362</v>
      </c>
      <c r="AE60" s="593">
        <f t="shared" si="18"/>
        <v>-86.330958868806533</v>
      </c>
      <c r="AG60" s="592">
        <f t="shared" si="19"/>
        <v>27.023405636851731</v>
      </c>
      <c r="AH60" s="593">
        <f t="shared" si="20"/>
        <v>-4.2047471469609627</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5">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1.0000001536608467</v>
      </c>
      <c r="N61" s="585">
        <f t="shared" si="5"/>
        <v>-5.5436599309467249E-4</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53.297621357217331</v>
      </c>
      <c r="X61" s="590">
        <f t="shared" si="13"/>
        <v>-90.783230358406314</v>
      </c>
      <c r="Y61" s="593">
        <f t="shared" si="14"/>
        <v>89.216769641593686</v>
      </c>
      <c r="AA61" s="150">
        <f t="shared" si="15"/>
        <v>1000000000</v>
      </c>
      <c r="AB61" s="150">
        <f t="shared" si="16"/>
        <v>6918.2469760000004</v>
      </c>
      <c r="AD61" s="592">
        <f t="shared" si="17"/>
        <v>51.673896551183994</v>
      </c>
      <c r="AE61" s="593">
        <f t="shared" si="18"/>
        <v>-86.05478358335489</v>
      </c>
      <c r="AG61" s="592">
        <f t="shared" si="19"/>
        <v>27.018624125341155</v>
      </c>
      <c r="AH61" s="593">
        <f t="shared" si="20"/>
        <v>-4.6086733564267686</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5">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1.0000001847423035</v>
      </c>
      <c r="N62" s="585">
        <f t="shared" si="5"/>
        <v>-6.0785240800953792E-4</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52.495318483507177</v>
      </c>
      <c r="X62" s="590">
        <f t="shared" si="13"/>
        <v>-90.927816029762596</v>
      </c>
      <c r="Y62" s="593">
        <f t="shared" si="14"/>
        <v>89.072183970237404</v>
      </c>
      <c r="AA62" s="150">
        <f t="shared" si="15"/>
        <v>1000000000</v>
      </c>
      <c r="AB62" s="150">
        <f t="shared" si="16"/>
        <v>8317.6224010000005</v>
      </c>
      <c r="AD62" s="592">
        <f t="shared" si="17"/>
        <v>50.877337307671063</v>
      </c>
      <c r="AE62" s="593">
        <f t="shared" si="18"/>
        <v>-85.745402578761258</v>
      </c>
      <c r="AG62" s="592">
        <f t="shared" si="19"/>
        <v>27.012881761693947</v>
      </c>
      <c r="AH62" s="593">
        <f t="shared" si="20"/>
        <v>-5.0510840391927925</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5">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1.0000002221095057</v>
      </c>
      <c r="N63" s="585">
        <f t="shared" si="5"/>
        <v>-6.6649750865346261E-4</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51.692574115469483</v>
      </c>
      <c r="X63" s="590">
        <f t="shared" si="13"/>
        <v>-91.079788608250325</v>
      </c>
      <c r="Y63" s="593">
        <f t="shared" si="14"/>
        <v>88.920211391749675</v>
      </c>
      <c r="AA63" s="150">
        <f t="shared" si="15"/>
        <v>1000000000</v>
      </c>
      <c r="AB63" s="150">
        <f t="shared" si="16"/>
        <v>10000</v>
      </c>
      <c r="AD63" s="592">
        <f t="shared" si="17"/>
        <v>50.081488091419232</v>
      </c>
      <c r="AE63" s="593">
        <f t="shared" si="18"/>
        <v>-85.400333058717848</v>
      </c>
      <c r="AG63" s="592">
        <f t="shared" si="19"/>
        <v>27.005988132598144</v>
      </c>
      <c r="AH63" s="593">
        <f t="shared" si="20"/>
        <v>-5.5354555866826498</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5">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1.0000002670449735</v>
      </c>
      <c r="N64" s="585">
        <f t="shared" si="5"/>
        <v>-7.3081449634553118E-4</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50.889110128862349</v>
      </c>
      <c r="X64" s="590">
        <f t="shared" si="13"/>
        <v>-91.240324202697607</v>
      </c>
      <c r="Y64" s="593">
        <f t="shared" si="14"/>
        <v>88.759675797302393</v>
      </c>
      <c r="AA64" s="150">
        <f t="shared" si="15"/>
        <v>1000000000</v>
      </c>
      <c r="AB64" s="150">
        <f t="shared" si="16"/>
        <v>12023.122500000001</v>
      </c>
      <c r="AD64" s="592">
        <f t="shared" si="17"/>
        <v>49.286301315149302</v>
      </c>
      <c r="AE64" s="593">
        <f t="shared" si="18"/>
        <v>-85.0166868524893</v>
      </c>
      <c r="AG64" s="592">
        <f t="shared" si="19"/>
        <v>26.99771275335296</v>
      </c>
      <c r="AH64" s="593">
        <f t="shared" si="20"/>
        <v>-6.0657413991512028</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5">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1.0000003210648916</v>
      </c>
      <c r="N65" s="585">
        <f t="shared" si="5"/>
        <v>-8.0132990179012709E-4</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50.085074321520139</v>
      </c>
      <c r="X65" s="590">
        <f t="shared" si="13"/>
        <v>-91.410537057329208</v>
      </c>
      <c r="Y65" s="593">
        <f t="shared" si="14"/>
        <v>88.589462942670792</v>
      </c>
      <c r="AA65" s="150">
        <f t="shared" si="15"/>
        <v>1000000000</v>
      </c>
      <c r="AB65" s="150">
        <f t="shared" si="16"/>
        <v>14455.252900000001</v>
      </c>
      <c r="AD65" s="592">
        <f t="shared" si="17"/>
        <v>48.492195259891808</v>
      </c>
      <c r="AE65" s="593">
        <f t="shared" si="18"/>
        <v>-84.591497287731997</v>
      </c>
      <c r="AG65" s="592">
        <f t="shared" si="19"/>
        <v>26.987785202545432</v>
      </c>
      <c r="AH65" s="593">
        <f t="shared" si="20"/>
        <v>-6.6459086341442548</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5">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1.0000003860073854</v>
      </c>
      <c r="N66" s="585">
        <f t="shared" si="5"/>
        <v>-8.7864356965266393E-4</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49.280307929971229</v>
      </c>
      <c r="X66" s="590">
        <f t="shared" si="13"/>
        <v>-91.591616278236074</v>
      </c>
      <c r="Y66" s="593">
        <f t="shared" si="14"/>
        <v>88.408383721763926</v>
      </c>
      <c r="AA66" s="150">
        <f t="shared" si="15"/>
        <v>1000000000</v>
      </c>
      <c r="AB66" s="150">
        <f t="shared" si="16"/>
        <v>17379.148900000004</v>
      </c>
      <c r="AD66" s="592">
        <f t="shared" si="17"/>
        <v>47.699336398865633</v>
      </c>
      <c r="AE66" s="593">
        <f t="shared" si="18"/>
        <v>-84.121378042349264</v>
      </c>
      <c r="AG66" s="592">
        <f t="shared" si="19"/>
        <v>26.975880318387389</v>
      </c>
      <c r="AH66" s="593">
        <f t="shared" si="20"/>
        <v>-7.2804031209619158</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5">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1.0000004640269384</v>
      </c>
      <c r="N67" s="585">
        <f t="shared" si="5"/>
        <v>-9.6335534363944019E-4</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48.475161315740266</v>
      </c>
      <c r="X67" s="590">
        <f t="shared" si="13"/>
        <v>-91.784633486319876</v>
      </c>
      <c r="Y67" s="593">
        <f t="shared" si="14"/>
        <v>88.215366513680124</v>
      </c>
      <c r="AA67" s="150">
        <f t="shared" si="15"/>
        <v>1000000000</v>
      </c>
      <c r="AB67" s="150">
        <f t="shared" si="16"/>
        <v>20891.811599999997</v>
      </c>
      <c r="AD67" s="592">
        <f t="shared" si="17"/>
        <v>46.908452028229888</v>
      </c>
      <c r="AE67" s="593">
        <f t="shared" si="18"/>
        <v>-83.602986462233318</v>
      </c>
      <c r="AG67" s="592">
        <f t="shared" si="19"/>
        <v>26.961621254037858</v>
      </c>
      <c r="AH67" s="593">
        <f t="shared" si="20"/>
        <v>-7.9735095362141752</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5">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1.0000005579185527</v>
      </c>
      <c r="N68" s="585">
        <f t="shared" si="5"/>
        <v>-1.0563316649810943E-3</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47.668095430268679</v>
      </c>
      <c r="X68" s="590">
        <f t="shared" si="13"/>
        <v>-91.991118593340715</v>
      </c>
      <c r="Y68" s="593">
        <f t="shared" si="14"/>
        <v>88.008881406659285</v>
      </c>
      <c r="AA68" s="150">
        <f t="shared" si="15"/>
        <v>1000000000</v>
      </c>
      <c r="AB68" s="150">
        <f t="shared" si="16"/>
        <v>25119.080100000003</v>
      </c>
      <c r="AD68" s="592">
        <f t="shared" si="17"/>
        <v>46.118487994764195</v>
      </c>
      <c r="AE68" s="593">
        <f t="shared" si="18"/>
        <v>-83.031413707723928</v>
      </c>
      <c r="AG68" s="592">
        <f t="shared" si="19"/>
        <v>26.944523228052599</v>
      </c>
      <c r="AH68" s="593">
        <f t="shared" si="20"/>
        <v>-8.7314794334316019</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5">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1.0000006707591933</v>
      </c>
      <c r="N69" s="585">
        <f t="shared" si="5"/>
        <v>-1.1582390241089979E-3</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46.860029525266462</v>
      </c>
      <c r="X69" s="590">
        <f t="shared" si="13"/>
        <v>-92.211973367876425</v>
      </c>
      <c r="Y69" s="593">
        <f t="shared" si="14"/>
        <v>87.788026632123575</v>
      </c>
      <c r="AA69" s="150">
        <f t="shared" si="15"/>
        <v>1000000000</v>
      </c>
      <c r="AB69" s="150">
        <f t="shared" si="16"/>
        <v>30199.488400000002</v>
      </c>
      <c r="AD69" s="592">
        <f t="shared" si="17"/>
        <v>45.330886711554882</v>
      </c>
      <c r="AE69" s="593">
        <f t="shared" si="18"/>
        <v>-82.403077230231247</v>
      </c>
      <c r="AG69" s="592">
        <f t="shared" si="19"/>
        <v>26.924063204438916</v>
      </c>
      <c r="AH69" s="593">
        <f t="shared" si="20"/>
        <v>-9.5586531324836113</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5">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1.0000008064638872</v>
      </c>
      <c r="N70" s="585">
        <f t="shared" si="5"/>
        <v>-1.2700105079817934E-3</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46.050173608094205</v>
      </c>
      <c r="X70" s="590">
        <f t="shared" si="13"/>
        <v>-92.448477250405134</v>
      </c>
      <c r="Y70" s="593">
        <f t="shared" si="14"/>
        <v>87.551522749594866</v>
      </c>
      <c r="AA70" s="150">
        <f t="shared" si="15"/>
        <v>1000000000</v>
      </c>
      <c r="AB70" s="150">
        <f t="shared" si="16"/>
        <v>36309.302500000005</v>
      </c>
      <c r="AD70" s="592">
        <f t="shared" si="17"/>
        <v>44.545514986434867</v>
      </c>
      <c r="AE70" s="593">
        <f t="shared" si="18"/>
        <v>-81.712900471339296</v>
      </c>
      <c r="AG70" s="592">
        <f t="shared" si="19"/>
        <v>26.899584542258292</v>
      </c>
      <c r="AH70" s="593">
        <f t="shared" si="20"/>
        <v>-10.461185035934619</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5">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1.0000009695463856</v>
      </c>
      <c r="N71" s="585">
        <f t="shared" si="5"/>
        <v>-1.3925125509529853E-3</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45.238824629000135</v>
      </c>
      <c r="X71" s="590">
        <f t="shared" si="13"/>
        <v>-92.701505878072368</v>
      </c>
      <c r="Y71" s="593">
        <f t="shared" si="14"/>
        <v>87.298494121927632</v>
      </c>
      <c r="AA71" s="150">
        <f t="shared" si="15"/>
        <v>1000000000</v>
      </c>
      <c r="AB71" s="150">
        <f t="shared" si="16"/>
        <v>43651.744900000005</v>
      </c>
      <c r="AD71" s="592">
        <f t="shared" si="17"/>
        <v>43.763408346171119</v>
      </c>
      <c r="AE71" s="593">
        <f t="shared" si="18"/>
        <v>-80.95641608083416</v>
      </c>
      <c r="AG71" s="592">
        <f t="shared" si="19"/>
        <v>26.87034884892266</v>
      </c>
      <c r="AH71" s="593">
        <f t="shared" si="20"/>
        <v>-11.444230935843988</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5">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1.0000011656796237</v>
      </c>
      <c r="N72" s="585">
        <f t="shared" si="5"/>
        <v>-1.526878182096653E-3</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44.42503419895764</v>
      </c>
      <c r="X72" s="590">
        <f t="shared" si="13"/>
        <v>-92.972167818404813</v>
      </c>
      <c r="Y72" s="593">
        <f t="shared" si="14"/>
        <v>87.027832181595187</v>
      </c>
      <c r="AA72" s="150">
        <f t="shared" si="15"/>
        <v>1000000000</v>
      </c>
      <c r="AB72" s="150">
        <f t="shared" si="16"/>
        <v>52482.2281</v>
      </c>
      <c r="AD72" s="592">
        <f t="shared" si="17"/>
        <v>42.984527806327122</v>
      </c>
      <c r="AE72" s="593">
        <f t="shared" si="18"/>
        <v>-80.127778017486676</v>
      </c>
      <c r="AG72" s="592">
        <f t="shared" si="19"/>
        <v>26.835446951008013</v>
      </c>
      <c r="AH72" s="593">
        <f t="shared" si="20"/>
        <v>-12.514500647298043</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5">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1.0000014014305523</v>
      </c>
      <c r="N73" s="585">
        <f t="shared" si="5"/>
        <v>-1.6741737757279859E-3</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43.608891583183848</v>
      </c>
      <c r="X73" s="590">
        <f t="shared" si="13"/>
        <v>-93.261034881654041</v>
      </c>
      <c r="Y73" s="593">
        <f t="shared" si="14"/>
        <v>86.738965118345959</v>
      </c>
      <c r="AA73" s="150">
        <f t="shared" si="15"/>
        <v>1000000000</v>
      </c>
      <c r="AB73" s="150">
        <f t="shared" si="16"/>
        <v>63096.416100000002</v>
      </c>
      <c r="AD73" s="592">
        <f t="shared" si="17"/>
        <v>42.209978706306458</v>
      </c>
      <c r="AE73" s="593">
        <f t="shared" si="18"/>
        <v>-79.221906103413502</v>
      </c>
      <c r="AG73" s="592">
        <f t="shared" si="19"/>
        <v>26.793863041923338</v>
      </c>
      <c r="AH73" s="593">
        <f t="shared" si="20"/>
        <v>-13.6774157666459</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5">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1.0000016848365516</v>
      </c>
      <c r="N74" s="585">
        <f t="shared" si="5"/>
        <v>-1.8356656482818848E-3</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42.789857335154565</v>
      </c>
      <c r="X74" s="590">
        <f t="shared" si="13"/>
        <v>-93.56859255261098</v>
      </c>
      <c r="Y74" s="593">
        <f t="shared" si="14"/>
        <v>86.43140744738902</v>
      </c>
      <c r="AA74" s="150">
        <f t="shared" si="15"/>
        <v>1000000000</v>
      </c>
      <c r="AB74" s="150">
        <f t="shared" si="16"/>
        <v>75856.176400000011</v>
      </c>
      <c r="AD74" s="592">
        <f t="shared" si="17"/>
        <v>41.440424222596661</v>
      </c>
      <c r="AE74" s="593">
        <f t="shared" si="18"/>
        <v>-78.23295124604509</v>
      </c>
      <c r="AG74" s="592">
        <f t="shared" si="19"/>
        <v>26.744394826169749</v>
      </c>
      <c r="AH74" s="593">
        <f t="shared" si="20"/>
        <v>-14.939037282214558</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5">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1.0000020257257083</v>
      </c>
      <c r="N75" s="585">
        <f t="shared" si="5"/>
        <v>-2.0128200558974193E-3</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41.967025604282355</v>
      </c>
      <c r="X75" s="590">
        <f t="shared" si="13"/>
        <v>-93.895101906758825</v>
      </c>
      <c r="Y75" s="593">
        <f t="shared" si="14"/>
        <v>86.104898093241175</v>
      </c>
      <c r="AA75" s="150">
        <f t="shared" si="15"/>
        <v>1000000000</v>
      </c>
      <c r="AB75" s="150">
        <f t="shared" si="16"/>
        <v>91204</v>
      </c>
      <c r="AD75" s="592">
        <f t="shared" si="17"/>
        <v>40.676371025808521</v>
      </c>
      <c r="AE75" s="593">
        <f t="shared" si="18"/>
        <v>-77.154446215048026</v>
      </c>
      <c r="AG75" s="592">
        <f t="shared" si="19"/>
        <v>26.68563018302946</v>
      </c>
      <c r="AH75" s="593">
        <f t="shared" si="20"/>
        <v>-16.305776714284608</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5">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1.0000024353631094</v>
      </c>
      <c r="N76" s="585">
        <f t="shared" si="5"/>
        <v>-2.2069699440155268E-3</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41.140673590607079</v>
      </c>
      <c r="X76" s="590">
        <f t="shared" si="13"/>
        <v>-94.239861486855403</v>
      </c>
      <c r="Y76" s="593">
        <f t="shared" si="14"/>
        <v>85.760138513144597</v>
      </c>
      <c r="AA76" s="150">
        <f t="shared" si="15"/>
        <v>1000000000</v>
      </c>
      <c r="AB76" s="150">
        <f t="shared" si="16"/>
        <v>109647.0769</v>
      </c>
      <c r="AD76" s="592">
        <f t="shared" si="17"/>
        <v>39.91961530833894</v>
      </c>
      <c r="AE76" s="593">
        <f t="shared" si="18"/>
        <v>-75.981506476475758</v>
      </c>
      <c r="AG76" s="592">
        <f t="shared" si="19"/>
        <v>26.616050579179355</v>
      </c>
      <c r="AH76" s="593">
        <f t="shared" si="20"/>
        <v>-17.781529158307674</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5">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1.0000029280009375</v>
      </c>
      <c r="N77" s="585">
        <f t="shared" ref="N77:N140" si="41">-ATAN(G77/z_RHP)</f>
        <v>-2.4199147890689677E-3</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40.309593940098701</v>
      </c>
      <c r="X77" s="590">
        <f t="shared" ref="X77:X140" si="49">((L77+R77+N77+V77)-(J77+P77+T77))*radconv</f>
        <v>-94.60215747193557</v>
      </c>
      <c r="Y77" s="593">
        <f t="shared" ref="Y77:Y140" si="50">IF(X77&gt;0,X77,X77+180)</f>
        <v>85.39784252806443</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26.533823380858351</v>
      </c>
      <c r="AH77" s="593">
        <f t="shared" ref="AH77:AH140" si="56">(L77+N77-(J77+V77))*radconv</f>
        <v>-19.371921887674194</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5">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1.0000035202426674</v>
      </c>
      <c r="N78" s="585">
        <f t="shared" si="41"/>
        <v>-2.6533873975519134E-3</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39.473534237551412</v>
      </c>
      <c r="X78" s="590">
        <f t="shared" si="49"/>
        <v>-94.98014596947074</v>
      </c>
      <c r="Y78" s="593">
        <f t="shared" si="50"/>
        <v>85.01985403052926</v>
      </c>
      <c r="AA78" s="150">
        <f t="shared" si="51"/>
        <v>1000000000</v>
      </c>
      <c r="AB78" s="150">
        <f t="shared" si="52"/>
        <v>158491.57210000002</v>
      </c>
      <c r="AD78" s="592">
        <f t="shared" si="53"/>
        <v>38.43158144437551</v>
      </c>
      <c r="AE78" s="593">
        <f t="shared" si="54"/>
        <v>-73.327054898158238</v>
      </c>
      <c r="AG78" s="592">
        <f t="shared" si="55"/>
        <v>26.436989297843656</v>
      </c>
      <c r="AH78" s="593">
        <f t="shared" si="56"/>
        <v>-21.079815013815473</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5">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1.0000042322817113</v>
      </c>
      <c r="N79" s="585">
        <f t="shared" si="41"/>
        <v>-2.9093871466807537E-3</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38.631856047184883</v>
      </c>
      <c r="X79" s="590">
        <f t="shared" si="49"/>
        <v>-95.371290942665198</v>
      </c>
      <c r="Y79" s="593">
        <f t="shared" si="50"/>
        <v>84.628709057334802</v>
      </c>
      <c r="AA79" s="150">
        <f t="shared" si="51"/>
        <v>1000000000</v>
      </c>
      <c r="AB79" s="150">
        <f t="shared" si="52"/>
        <v>190549.71039999998</v>
      </c>
      <c r="AD79" s="592">
        <f t="shared" si="53"/>
        <v>37.703564833450642</v>
      </c>
      <c r="AE79" s="593">
        <f t="shared" si="54"/>
        <v>-71.835343223208639</v>
      </c>
      <c r="AG79" s="592">
        <f t="shared" si="55"/>
        <v>26.323356733194121</v>
      </c>
      <c r="AH79" s="593">
        <f t="shared" si="56"/>
        <v>-22.907362007494655</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5">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1.0000050882204754</v>
      </c>
      <c r="N80" s="585">
        <f t="shared" si="41"/>
        <v>-3.1900466769240131E-3</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37.784136771499362</v>
      </c>
      <c r="X80" s="590">
        <f t="shared" si="49"/>
        <v>-95.772006451378701</v>
      </c>
      <c r="Y80" s="593">
        <f t="shared" si="50"/>
        <v>84.227993548621299</v>
      </c>
      <c r="AA80" s="150">
        <f t="shared" si="51"/>
        <v>1000000000</v>
      </c>
      <c r="AB80" s="150">
        <f t="shared" si="52"/>
        <v>229086.67689999999</v>
      </c>
      <c r="AD80" s="592">
        <f t="shared" si="53"/>
        <v>36.988654309095338</v>
      </c>
      <c r="AE80" s="593">
        <f t="shared" si="54"/>
        <v>-70.228267953580016</v>
      </c>
      <c r="AG80" s="592">
        <f t="shared" si="55"/>
        <v>26.190582860317445</v>
      </c>
      <c r="AH80" s="593">
        <f t="shared" si="56"/>
        <v>-24.85451536850664</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5">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1.000006117444934</v>
      </c>
      <c r="N81" s="585">
        <f t="shared" si="41"/>
        <v>-3.4978318279079127E-3</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36.929652500974498</v>
      </c>
      <c r="X81" s="590">
        <f t="shared" si="49"/>
        <v>-96.177846016681272</v>
      </c>
      <c r="Y81" s="593">
        <f t="shared" si="50"/>
        <v>83.822153983318728</v>
      </c>
      <c r="AA81" s="150">
        <f t="shared" si="51"/>
        <v>1000000000</v>
      </c>
      <c r="AB81" s="150">
        <f t="shared" si="52"/>
        <v>275425.53609999997</v>
      </c>
      <c r="AD81" s="592">
        <f t="shared" si="53"/>
        <v>36.288668919468599</v>
      </c>
      <c r="AE81" s="593">
        <f t="shared" si="54"/>
        <v>-68.502235366764012</v>
      </c>
      <c r="AG81" s="592">
        <f t="shared" si="55"/>
        <v>26.036125918920963</v>
      </c>
      <c r="AH81" s="593">
        <f t="shared" si="56"/>
        <v>-26.919889616216476</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5">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1.0000073547123418</v>
      </c>
      <c r="N82" s="585">
        <f t="shared" si="41"/>
        <v>-3.8352750268071025E-3</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36.06826685410261</v>
      </c>
      <c r="X82" s="590">
        <f t="shared" si="49"/>
        <v>-96.583096941231403</v>
      </c>
      <c r="Y82" s="593">
        <f t="shared" si="50"/>
        <v>83.416903058768597</v>
      </c>
      <c r="AA82" s="150">
        <f t="shared" si="51"/>
        <v>1000000000</v>
      </c>
      <c r="AB82" s="150">
        <f t="shared" si="52"/>
        <v>331131.19360000006</v>
      </c>
      <c r="AD82" s="592">
        <f t="shared" si="53"/>
        <v>35.606019439327802</v>
      </c>
      <c r="AE82" s="593">
        <f t="shared" si="54"/>
        <v>-66.656053084654957</v>
      </c>
      <c r="AG82" s="592">
        <f t="shared" si="55"/>
        <v>25.85744016897025</v>
      </c>
      <c r="AH82" s="593">
        <f t="shared" si="56"/>
        <v>-29.098417330617277</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5">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1.0000088423750022</v>
      </c>
      <c r="N83" s="585">
        <f t="shared" si="41"/>
        <v>-4.2053085133601812E-3</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35.199606593588165</v>
      </c>
      <c r="X83" s="590">
        <f t="shared" si="49"/>
        <v>-96.981278996542628</v>
      </c>
      <c r="Y83" s="593">
        <f t="shared" si="50"/>
        <v>83.018721003457372</v>
      </c>
      <c r="AA83" s="150">
        <f t="shared" si="51"/>
        <v>1000000000</v>
      </c>
      <c r="AB83" s="150">
        <f t="shared" si="52"/>
        <v>398110.52160000004</v>
      </c>
      <c r="AD83" s="592">
        <f t="shared" si="53"/>
        <v>34.942962538476799</v>
      </c>
      <c r="AE83" s="593">
        <f t="shared" si="54"/>
        <v>-64.689576298552453</v>
      </c>
      <c r="AG83" s="592">
        <f t="shared" si="55"/>
        <v>25.651897429041991</v>
      </c>
      <c r="AH83" s="593">
        <f t="shared" si="56"/>
        <v>-31.38312962345907</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5">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1.0000106307441541</v>
      </c>
      <c r="N84" s="585">
        <f t="shared" si="41"/>
        <v>-4.6109977180064888E-3</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34.323864713647268</v>
      </c>
      <c r="X84" s="590">
        <f t="shared" si="49"/>
        <v>-97.364996989788821</v>
      </c>
      <c r="Y84" s="593">
        <f t="shared" si="50"/>
        <v>82.635003010211179</v>
      </c>
      <c r="AA84" s="150">
        <f t="shared" si="51"/>
        <v>1000000000</v>
      </c>
      <c r="AB84" s="150">
        <f t="shared" si="52"/>
        <v>478628.74890000006</v>
      </c>
      <c r="AD84" s="592">
        <f t="shared" si="53"/>
        <v>34.302155868849695</v>
      </c>
      <c r="AE84" s="593">
        <f t="shared" si="54"/>
        <v>-62.605694197439782</v>
      </c>
      <c r="AG84" s="592">
        <f t="shared" si="55"/>
        <v>25.417035091347735</v>
      </c>
      <c r="AH84" s="593">
        <f t="shared" si="56"/>
        <v>-33.763079885446558</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5">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1.0000127810694572</v>
      </c>
      <c r="N85" s="585">
        <f t="shared" si="41"/>
        <v>-5.0558744701513919E-3</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33.441135448003266</v>
      </c>
      <c r="X85" s="590">
        <f t="shared" si="49"/>
        <v>-97.726597572773414</v>
      </c>
      <c r="Y85" s="593">
        <f t="shared" si="50"/>
        <v>82.273402427226586</v>
      </c>
      <c r="AA85" s="150">
        <f t="shared" si="51"/>
        <v>1000000000</v>
      </c>
      <c r="AB85" s="150">
        <f t="shared" si="52"/>
        <v>575443.61640000006</v>
      </c>
      <c r="AD85" s="592">
        <f t="shared" si="53"/>
        <v>33.686055422608348</v>
      </c>
      <c r="AE85" s="593">
        <f t="shared" si="54"/>
        <v>-60.409080185775785</v>
      </c>
      <c r="AG85" s="592">
        <f t="shared" si="55"/>
        <v>25.150493893012715</v>
      </c>
      <c r="AH85" s="593">
        <f t="shared" si="56"/>
        <v>-36.225178392576744</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5">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1.0000153659678066</v>
      </c>
      <c r="N86" s="585">
        <f t="shared" si="41"/>
        <v>-5.5436037103140301E-3</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32.552219400595092</v>
      </c>
      <c r="X86" s="590">
        <f t="shared" si="49"/>
        <v>-98.058301787458674</v>
      </c>
      <c r="Y86" s="593">
        <f t="shared" si="50"/>
        <v>81.941698212541326</v>
      </c>
      <c r="AA86" s="150">
        <f t="shared" si="51"/>
        <v>1000000000</v>
      </c>
      <c r="AB86" s="150">
        <f t="shared" si="52"/>
        <v>691824.69759999996</v>
      </c>
      <c r="AD86" s="592">
        <f t="shared" si="53"/>
        <v>33.097394510230636</v>
      </c>
      <c r="AE86" s="593">
        <f t="shared" si="54"/>
        <v>-58.108326797757037</v>
      </c>
      <c r="AG86" s="592">
        <f t="shared" si="55"/>
        <v>24.850344086126629</v>
      </c>
      <c r="AH86" s="593">
        <f t="shared" si="56"/>
        <v>-38.752261952166677</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5">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1.0000184740614013</v>
      </c>
      <c r="N87" s="585">
        <f t="shared" si="41"/>
        <v>-6.0784499663432317E-3</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31.657786411507555</v>
      </c>
      <c r="X87" s="590">
        <f t="shared" si="49"/>
        <v>-98.353112629478517</v>
      </c>
      <c r="Y87" s="593">
        <f t="shared" si="50"/>
        <v>81.646887370521483</v>
      </c>
      <c r="AA87" s="150">
        <f t="shared" si="51"/>
        <v>1000000000</v>
      </c>
      <c r="AB87" s="150">
        <f t="shared" si="52"/>
        <v>831762.24009999994</v>
      </c>
      <c r="AD87" s="592">
        <f t="shared" si="53"/>
        <v>32.538496569888487</v>
      </c>
      <c r="AE87" s="593">
        <f t="shared" si="54"/>
        <v>-55.713995610706419</v>
      </c>
      <c r="AG87" s="592">
        <f t="shared" si="55"/>
        <v>24.514935683227783</v>
      </c>
      <c r="AH87" s="593">
        <f t="shared" si="56"/>
        <v>-41.325850780045691</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5">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1.0000222107063721</v>
      </c>
      <c r="N88" s="585">
        <f t="shared" si="41"/>
        <v>-6.6648773857541487E-3</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30.759168527355286</v>
      </c>
      <c r="X88" s="590">
        <f t="shared" si="49"/>
        <v>-98.605121631472784</v>
      </c>
      <c r="Y88" s="593">
        <f t="shared" si="50"/>
        <v>81.394878368527216</v>
      </c>
      <c r="AA88" s="150">
        <f t="shared" si="51"/>
        <v>1000000000</v>
      </c>
      <c r="AB88" s="150">
        <f t="shared" si="52"/>
        <v>1000000</v>
      </c>
      <c r="AD88" s="592">
        <f t="shared" si="53"/>
        <v>32.011706861898617</v>
      </c>
      <c r="AE88" s="593">
        <f t="shared" si="54"/>
        <v>-53.240690226578565</v>
      </c>
      <c r="AG88" s="592">
        <f t="shared" si="55"/>
        <v>24.143259762838511</v>
      </c>
      <c r="AH88" s="593">
        <f t="shared" si="56"/>
        <v>-43.924468528396645</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5">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1.0000267041443562</v>
      </c>
      <c r="N89" s="585">
        <f t="shared" si="41"/>
        <v>-7.3080161617609983E-3</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29.857600921854285</v>
      </c>
      <c r="X89" s="590">
        <f t="shared" si="49"/>
        <v>-98.810329159458746</v>
      </c>
      <c r="Y89" s="593">
        <f t="shared" si="50"/>
        <v>81.189670840541254</v>
      </c>
      <c r="AA89" s="150">
        <f t="shared" si="51"/>
        <v>1000000000</v>
      </c>
      <c r="AB89" s="150">
        <f t="shared" si="52"/>
        <v>1202312.25</v>
      </c>
      <c r="AD89" s="592">
        <f t="shared" si="53"/>
        <v>31.518831995209332</v>
      </c>
      <c r="AE89" s="593">
        <f t="shared" si="54"/>
        <v>-50.704960150181321</v>
      </c>
      <c r="AG89" s="592">
        <f t="shared" si="55"/>
        <v>23.73475011408236</v>
      </c>
      <c r="AH89" s="593">
        <f t="shared" si="56"/>
        <v>-46.526457949888417</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5">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1.0000321059789226</v>
      </c>
      <c r="N90" s="585">
        <f t="shared" si="41"/>
        <v>-8.0131292203722195E-3</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28.954988803434038</v>
      </c>
      <c r="X90" s="590">
        <f t="shared" si="49"/>
        <v>-98.966905327152531</v>
      </c>
      <c r="Y90" s="593">
        <f t="shared" si="50"/>
        <v>81.033094672847469</v>
      </c>
      <c r="AA90" s="150">
        <f t="shared" si="51"/>
        <v>1000000000</v>
      </c>
      <c r="AB90" s="150">
        <f t="shared" si="52"/>
        <v>1445525.2899999998</v>
      </c>
      <c r="AD90" s="592">
        <f t="shared" si="53"/>
        <v>31.061510894630921</v>
      </c>
      <c r="AE90" s="593">
        <f t="shared" si="54"/>
        <v>-48.127212022401167</v>
      </c>
      <c r="AG90" s="592">
        <f t="shared" si="55"/>
        <v>23.289679196298323</v>
      </c>
      <c r="AH90" s="593">
        <f t="shared" si="56"/>
        <v>-49.108445821936542</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5">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1.0000386000010115</v>
      </c>
      <c r="N91" s="585">
        <f t="shared" si="41"/>
        <v>-8.7862118593791203E-3</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28.052988542114591</v>
      </c>
      <c r="X91" s="590">
        <f t="shared" si="49"/>
        <v>-99.075688385601083</v>
      </c>
      <c r="Y91" s="593">
        <f t="shared" si="50"/>
        <v>80.924311614398917</v>
      </c>
      <c r="AA91" s="150">
        <f t="shared" si="51"/>
        <v>1000000000</v>
      </c>
      <c r="AB91" s="150">
        <f t="shared" si="52"/>
        <v>1737914.89</v>
      </c>
      <c r="AD91" s="592">
        <f t="shared" si="53"/>
        <v>30.640658979876125</v>
      </c>
      <c r="AE91" s="593">
        <f t="shared" si="54"/>
        <v>-45.52877778036747</v>
      </c>
      <c r="AG91" s="592">
        <f t="shared" si="55"/>
        <v>22.808795446218401</v>
      </c>
      <c r="AH91" s="593">
        <f t="shared" si="56"/>
        <v>-51.648643654718427</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5">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1.0000464016280599</v>
      </c>
      <c r="N92" s="585">
        <f t="shared" si="41"/>
        <v>-9.6332584177580647E-3</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27.153811672896278</v>
      </c>
      <c r="X92" s="590">
        <f t="shared" si="49"/>
        <v>-99.140107595262904</v>
      </c>
      <c r="Y92" s="593">
        <f t="shared" si="50"/>
        <v>80.859892404737096</v>
      </c>
      <c r="AA92" s="150">
        <f t="shared" si="51"/>
        <v>1000000000</v>
      </c>
      <c r="AB92" s="150">
        <f t="shared" si="52"/>
        <v>2089181.1600000001</v>
      </c>
      <c r="AD92" s="592">
        <f t="shared" si="53"/>
        <v>30.25684358779953</v>
      </c>
      <c r="AE92" s="593">
        <f t="shared" si="54"/>
        <v>-42.933685381100965</v>
      </c>
      <c r="AG92" s="592">
        <f t="shared" si="55"/>
        <v>22.293751835896913</v>
      </c>
      <c r="AH92" s="593">
        <f t="shared" si="56"/>
        <v>-54.125158308468365</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5">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1.0000557903145455</v>
      </c>
      <c r="N93" s="585">
        <f t="shared" si="41"/>
        <v>-1.056292770681549E-2</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26.257450647473238</v>
      </c>
      <c r="X93" s="590">
        <f t="shared" si="49"/>
        <v>-99.166134401111435</v>
      </c>
      <c r="Y93" s="593">
        <f t="shared" si="50"/>
        <v>80.833865598888565</v>
      </c>
      <c r="AA93" s="150">
        <f t="shared" si="51"/>
        <v>1000000000</v>
      </c>
      <c r="AB93" s="150">
        <f t="shared" si="52"/>
        <v>2511908.0100000002</v>
      </c>
      <c r="AD93" s="592">
        <f t="shared" si="53"/>
        <v>29.909162695793711</v>
      </c>
      <c r="AE93" s="593">
        <f t="shared" si="54"/>
        <v>-40.360053339157048</v>
      </c>
      <c r="AG93" s="592">
        <f t="shared" si="55"/>
        <v>21.745454221000934</v>
      </c>
      <c r="AH93" s="593">
        <f t="shared" si="56"/>
        <v>-56.523972841227582</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5">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1.0000670736923973</v>
      </c>
      <c r="N94" s="585">
        <f t="shared" si="41"/>
        <v>-1.1581877528717031E-2</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25.366444653743393</v>
      </c>
      <c r="X94" s="590">
        <f t="shared" si="49"/>
        <v>-99.16161733178167</v>
      </c>
      <c r="Y94" s="593">
        <f t="shared" si="50"/>
        <v>80.83838266821833</v>
      </c>
      <c r="AA94" s="150">
        <f t="shared" si="51"/>
        <v>1000000000</v>
      </c>
      <c r="AB94" s="150">
        <f t="shared" si="52"/>
        <v>3019948.84</v>
      </c>
      <c r="AD94" s="592">
        <f t="shared" si="53"/>
        <v>29.597264906476575</v>
      </c>
      <c r="AE94" s="593">
        <f t="shared" si="54"/>
        <v>-37.833173727142679</v>
      </c>
      <c r="AG94" s="592">
        <f t="shared" si="55"/>
        <v>21.166805713805878</v>
      </c>
      <c r="AH94" s="593">
        <f t="shared" si="56"/>
        <v>-58.826206406684101</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5">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1.0000806431695766</v>
      </c>
      <c r="N95" s="585">
        <f t="shared" si="41"/>
        <v>-1.269942916162407E-2</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24.481185424016051</v>
      </c>
      <c r="X95" s="590">
        <f t="shared" si="49"/>
        <v>-99.135982759417686</v>
      </c>
      <c r="Y95" s="593">
        <f t="shared" si="50"/>
        <v>80.864017240582314</v>
      </c>
      <c r="AA95" s="150">
        <f t="shared" si="51"/>
        <v>1000000000</v>
      </c>
      <c r="AB95" s="150">
        <f t="shared" si="52"/>
        <v>3630930.25</v>
      </c>
      <c r="AD95" s="592">
        <f t="shared" si="53"/>
        <v>29.319517398115309</v>
      </c>
      <c r="AE95" s="593">
        <f t="shared" si="54"/>
        <v>-35.371347547186325</v>
      </c>
      <c r="AG95" s="592">
        <f t="shared" si="55"/>
        <v>20.559846805074486</v>
      </c>
      <c r="AH95" s="593">
        <f t="shared" si="56"/>
        <v>-61.020972017783222</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5">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1.0000969499859143</v>
      </c>
      <c r="N96" s="585">
        <f t="shared" si="41"/>
        <v>-1.3924234543579245E-2</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23.60298557848094</v>
      </c>
      <c r="X96" s="590">
        <f t="shared" si="49"/>
        <v>-99.099578464589584</v>
      </c>
      <c r="Y96" s="593">
        <f t="shared" si="50"/>
        <v>80.900421535410416</v>
      </c>
      <c r="AA96" s="150">
        <f t="shared" si="51"/>
        <v>1000000000</v>
      </c>
      <c r="AB96" s="150">
        <f t="shared" si="52"/>
        <v>4365174.4900000012</v>
      </c>
      <c r="AD96" s="592">
        <f t="shared" si="53"/>
        <v>29.074239317427949</v>
      </c>
      <c r="AE96" s="593">
        <f t="shared" si="54"/>
        <v>-32.993991301997042</v>
      </c>
      <c r="AG96" s="592">
        <f t="shared" si="55"/>
        <v>19.927589337563035</v>
      </c>
      <c r="AH96" s="593">
        <f t="shared" si="56"/>
        <v>-63.097333663652059</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5">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1.0001165612370615</v>
      </c>
      <c r="N97" s="585">
        <f t="shared" si="41"/>
        <v>-1.5267607283785884E-2</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22.731541111439061</v>
      </c>
      <c r="X97" s="590">
        <f t="shared" si="49"/>
        <v>-99.063047208876057</v>
      </c>
      <c r="Y97" s="593">
        <f t="shared" si="50"/>
        <v>80.936952791123943</v>
      </c>
      <c r="AA97" s="150">
        <f t="shared" si="51"/>
        <v>1000000000</v>
      </c>
      <c r="AB97" s="150">
        <f t="shared" si="52"/>
        <v>5248222.8100000005</v>
      </c>
      <c r="AD97" s="592">
        <f t="shared" si="53"/>
        <v>28.859015314633968</v>
      </c>
      <c r="AE97" s="593">
        <f t="shared" si="54"/>
        <v>-30.714149618126619</v>
      </c>
      <c r="AG97" s="592">
        <f t="shared" si="55"/>
        <v>19.272167737166399</v>
      </c>
      <c r="AH97" s="593">
        <f t="shared" si="56"/>
        <v>-65.050447813851818</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5">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1.0001401333347586</v>
      </c>
      <c r="N98" s="585">
        <f t="shared" si="41"/>
        <v>-1.6740189500452595E-2</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21.867436885709598</v>
      </c>
      <c r="X98" s="590">
        <f t="shared" si="49"/>
        <v>-99.036938819844181</v>
      </c>
      <c r="Y98" s="593">
        <f t="shared" si="50"/>
        <v>80.963061180155819</v>
      </c>
      <c r="AA98" s="150">
        <f t="shared" si="51"/>
        <v>1000000000</v>
      </c>
      <c r="AB98" s="150">
        <f t="shared" si="52"/>
        <v>6309641.6100000003</v>
      </c>
      <c r="AD98" s="592">
        <f t="shared" si="53"/>
        <v>28.671515675596254</v>
      </c>
      <c r="AE98" s="593">
        <f t="shared" si="54"/>
        <v>-28.544980173974135</v>
      </c>
      <c r="AG98" s="592">
        <f t="shared" si="55"/>
        <v>18.596523290576702</v>
      </c>
      <c r="AH98" s="593">
        <f t="shared" si="56"/>
        <v>-66.875410828079438</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5">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1.0001684696060995</v>
      </c>
      <c r="N99" s="585">
        <f t="shared" si="41"/>
        <v>-1.8354615649790785E-2</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21.010394184785209</v>
      </c>
      <c r="X99" s="590">
        <f t="shared" si="49"/>
        <v>-99.031281302610765</v>
      </c>
      <c r="Y99" s="593">
        <f t="shared" si="50"/>
        <v>80.968718697389235</v>
      </c>
      <c r="AA99" s="150">
        <f t="shared" si="51"/>
        <v>1000000000</v>
      </c>
      <c r="AB99" s="150">
        <f t="shared" si="52"/>
        <v>7585617.6399999987</v>
      </c>
      <c r="AD99" s="592">
        <f t="shared" si="53"/>
        <v>28.509120712455584</v>
      </c>
      <c r="AE99" s="593">
        <f t="shared" si="54"/>
        <v>-26.494907869196108</v>
      </c>
      <c r="AG99" s="592">
        <f t="shared" si="55"/>
        <v>17.903029648193257</v>
      </c>
      <c r="AH99" s="593">
        <f t="shared" si="56"/>
        <v>-68.571100709955473</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5">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1.000202552262303</v>
      </c>
      <c r="N100" s="585">
        <f t="shared" si="41"/>
        <v>-2.0125510115058053E-2</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20.159627661433539</v>
      </c>
      <c r="X100" s="590">
        <f t="shared" si="49"/>
        <v>-99.055417815277977</v>
      </c>
      <c r="Y100" s="593">
        <f t="shared" si="50"/>
        <v>80.944582184722023</v>
      </c>
      <c r="AA100" s="150">
        <f t="shared" si="51"/>
        <v>1000000000</v>
      </c>
      <c r="AB100" s="150">
        <f t="shared" si="52"/>
        <v>9120400</v>
      </c>
      <c r="AD100" s="592">
        <f t="shared" si="53"/>
        <v>28.369153906235059</v>
      </c>
      <c r="AE100" s="593">
        <f t="shared" si="54"/>
        <v>-24.568813980946896</v>
      </c>
      <c r="AG100" s="592">
        <f t="shared" si="55"/>
        <v>17.193617924815236</v>
      </c>
      <c r="AH100" s="593">
        <f t="shared" si="56"/>
        <v>-70.138825830821105</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5">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1.0002435069596678</v>
      </c>
      <c r="N101" s="585">
        <f t="shared" si="41"/>
        <v>-2.2066153126471422E-2</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19.315487471351148</v>
      </c>
      <c r="X101" s="590">
        <f t="shared" si="49"/>
        <v>-99.117850446610703</v>
      </c>
      <c r="Y101" s="593">
        <f t="shared" si="50"/>
        <v>80.882149553389297</v>
      </c>
      <c r="AA101" s="150">
        <f t="shared" si="51"/>
        <v>1000000000</v>
      </c>
      <c r="AB101" s="150">
        <f t="shared" si="52"/>
        <v>10964707.690000001</v>
      </c>
      <c r="AD101" s="592">
        <f t="shared" si="53"/>
        <v>28.249204472810668</v>
      </c>
      <c r="AE101" s="593">
        <f t="shared" si="54"/>
        <v>-22.771828884830136</v>
      </c>
      <c r="AG101" s="592">
        <f t="shared" si="55"/>
        <v>16.471094813883028</v>
      </c>
      <c r="AH101" s="593">
        <f t="shared" si="56"/>
        <v>-71.579096582032392</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5">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1.0002927576688816</v>
      </c>
      <c r="N102" s="585">
        <f t="shared" si="41"/>
        <v>-2.4194473095145316E-2</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18.476747647361766</v>
      </c>
      <c r="X102" s="590">
        <f t="shared" si="49"/>
        <v>-99.226353856459667</v>
      </c>
      <c r="Y102" s="593">
        <f t="shared" si="50"/>
        <v>80.773646143540333</v>
      </c>
      <c r="AA102" s="150">
        <f t="shared" si="51"/>
        <v>1000000000</v>
      </c>
      <c r="AB102" s="150">
        <f t="shared" si="52"/>
        <v>13182708.640000001</v>
      </c>
      <c r="AD102" s="592">
        <f t="shared" si="53"/>
        <v>28.146748587876502</v>
      </c>
      <c r="AE102" s="593">
        <f t="shared" si="54"/>
        <v>-21.103524831248755</v>
      </c>
      <c r="AG102" s="592">
        <f t="shared" si="55"/>
        <v>15.736816028465537</v>
      </c>
      <c r="AH102" s="593">
        <f t="shared" si="56"/>
        <v>-72.896252544326842</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5">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1.0003519629473943</v>
      </c>
      <c r="N103" s="585">
        <f t="shared" si="41"/>
        <v>-2.6527711804546165E-2</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17.643138939540684</v>
      </c>
      <c r="X103" s="590">
        <f t="shared" si="49"/>
        <v>-99.387928068081635</v>
      </c>
      <c r="Y103" s="593">
        <f t="shared" si="50"/>
        <v>80.612071931918365</v>
      </c>
      <c r="AA103" s="150">
        <f t="shared" si="51"/>
        <v>1000000000</v>
      </c>
      <c r="AB103" s="150">
        <f t="shared" si="52"/>
        <v>15849157.209999999</v>
      </c>
      <c r="AD103" s="592">
        <f t="shared" si="53"/>
        <v>28.059575234616162</v>
      </c>
      <c r="AE103" s="593">
        <f t="shared" si="54"/>
        <v>-19.563786053553503</v>
      </c>
      <c r="AG103" s="592">
        <f t="shared" si="55"/>
        <v>14.992790676843125</v>
      </c>
      <c r="AH103" s="593">
        <f t="shared" si="56"/>
        <v>-74.093698227141687</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5">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1.0004231395432162</v>
      </c>
      <c r="N104" s="585">
        <f t="shared" si="41"/>
        <v>-2.9085748784489301E-2</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16.813987376427672</v>
      </c>
      <c r="X104" s="590">
        <f t="shared" si="49"/>
        <v>-99.609030359072392</v>
      </c>
      <c r="Y104" s="593">
        <f t="shared" si="50"/>
        <v>80.390969640927608</v>
      </c>
      <c r="AA104" s="150">
        <f t="shared" si="51"/>
        <v>1000000000</v>
      </c>
      <c r="AB104" s="150">
        <f t="shared" si="52"/>
        <v>19054971.039999999</v>
      </c>
      <c r="AD104" s="592">
        <f t="shared" si="53"/>
        <v>27.985610985880601</v>
      </c>
      <c r="AE104" s="593">
        <f t="shared" si="54"/>
        <v>-18.150227499566387</v>
      </c>
      <c r="AG104" s="592">
        <f t="shared" si="55"/>
        <v>14.240500042910453</v>
      </c>
      <c r="AH104" s="593">
        <f t="shared" si="56"/>
        <v>-75.175999265736621</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5">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1.0005086939572656</v>
      </c>
      <c r="N105" s="585">
        <f t="shared" si="41"/>
        <v>-3.1889760411322902E-2</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15.988813814322897</v>
      </c>
      <c r="X105" s="590">
        <f t="shared" si="49"/>
        <v>-99.895648977673588</v>
      </c>
      <c r="Y105" s="593">
        <f t="shared" si="50"/>
        <v>80.104351022326412</v>
      </c>
      <c r="AA105" s="150">
        <f t="shared" si="51"/>
        <v>1000000000</v>
      </c>
      <c r="AB105" s="150">
        <f t="shared" si="52"/>
        <v>22908667.690000001</v>
      </c>
      <c r="AD105" s="592">
        <f t="shared" si="53"/>
        <v>27.923002819855004</v>
      </c>
      <c r="AE105" s="593">
        <f t="shared" si="54"/>
        <v>-16.859708903158623</v>
      </c>
      <c r="AG105" s="592">
        <f t="shared" si="55"/>
        <v>13.481415559392584</v>
      </c>
      <c r="AH105" s="593">
        <f t="shared" si="56"/>
        <v>-76.147733017133973</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5">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1.0006115593621243</v>
      </c>
      <c r="N106" s="585">
        <f t="shared" si="41"/>
        <v>-3.4964206096415505E-2</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15.166806796717609</v>
      </c>
      <c r="X106" s="590">
        <f t="shared" si="49"/>
        <v>-100.25365327580542</v>
      </c>
      <c r="Y106" s="593">
        <f t="shared" si="50"/>
        <v>79.746346724194581</v>
      </c>
      <c r="AA106" s="150">
        <f t="shared" si="51"/>
        <v>1000000000</v>
      </c>
      <c r="AB106" s="150">
        <f t="shared" si="52"/>
        <v>27542553.610000003</v>
      </c>
      <c r="AD106" s="592">
        <f t="shared" si="53"/>
        <v>27.870075210040198</v>
      </c>
      <c r="AE106" s="593">
        <f t="shared" si="54"/>
        <v>-15.687807038319542</v>
      </c>
      <c r="AG106" s="592">
        <f t="shared" si="55"/>
        <v>12.716520083657537</v>
      </c>
      <c r="AH106" s="593">
        <f t="shared" si="56"/>
        <v>-77.013939407249708</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5">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1.0006403615656458</v>
      </c>
      <c r="N107" s="585">
        <f t="shared" si="41"/>
        <v>-3.5777647579433851E-2</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14.961840786075442</v>
      </c>
      <c r="X107" s="590">
        <f t="shared" si="49"/>
        <v>-100.3549271025324</v>
      </c>
      <c r="Y107" s="593">
        <f t="shared" si="50"/>
        <v>79.6450728974676</v>
      </c>
      <c r="AA107" s="150">
        <f t="shared" si="51"/>
        <v>1000000000</v>
      </c>
      <c r="AB107" s="150">
        <f t="shared" si="52"/>
        <v>28840122.090000004</v>
      </c>
      <c r="AD107" s="592">
        <f t="shared" si="53"/>
        <v>27.858186902473484</v>
      </c>
      <c r="AE107" s="593">
        <f t="shared" si="54"/>
        <v>-15.412989617142566</v>
      </c>
      <c r="AG107" s="592">
        <f t="shared" si="55"/>
        <v>12.524613621951829</v>
      </c>
      <c r="AH107" s="593">
        <f t="shared" si="56"/>
        <v>-77.214445190672151</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5">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1.0006553606118367</v>
      </c>
      <c r="N108" s="585">
        <f t="shared" si="41"/>
        <v>-3.6194002190238703E-2</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14.85878588910076</v>
      </c>
      <c r="X108" s="590">
        <f t="shared" si="49"/>
        <v>-100.40772468964407</v>
      </c>
      <c r="Y108" s="593">
        <f t="shared" si="50"/>
        <v>79.59227531035593</v>
      </c>
      <c r="AA108" s="150">
        <f t="shared" si="51"/>
        <v>1000000000</v>
      </c>
      <c r="AB108" s="150">
        <f t="shared" si="52"/>
        <v>29515859.122500002</v>
      </c>
      <c r="AD108" s="592">
        <f t="shared" si="53"/>
        <v>27.852393275469272</v>
      </c>
      <c r="AE108" s="593">
        <f t="shared" si="54"/>
        <v>-15.277407232066796</v>
      </c>
      <c r="AG108" s="592">
        <f t="shared" si="55"/>
        <v>12.42796224388889</v>
      </c>
      <c r="AH108" s="593">
        <f t="shared" si="56"/>
        <v>-77.312955815262285</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5">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1.0006705331175794</v>
      </c>
      <c r="N109" s="585">
        <f t="shared" si="41"/>
        <v>-3.661034424739569E-2</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14.756950587193442</v>
      </c>
      <c r="X109" s="590">
        <f t="shared" si="49"/>
        <v>-100.46114807120343</v>
      </c>
      <c r="Y109" s="593">
        <f t="shared" si="50"/>
        <v>79.538851928796575</v>
      </c>
      <c r="AA109" s="150">
        <f t="shared" si="51"/>
        <v>1000000000</v>
      </c>
      <c r="AB109" s="150">
        <f t="shared" si="52"/>
        <v>30199421.159999996</v>
      </c>
      <c r="AD109" s="592">
        <f t="shared" si="53"/>
        <v>27.846785819115741</v>
      </c>
      <c r="AE109" s="593">
        <f t="shared" si="54"/>
        <v>-15.145126155867432</v>
      </c>
      <c r="AG109" s="592">
        <f t="shared" si="55"/>
        <v>12.332351312681437</v>
      </c>
      <c r="AH109" s="593">
        <f t="shared" si="56"/>
        <v>-77.408795631314121</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5">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1.0006862368735743</v>
      </c>
      <c r="N110" s="585">
        <f t="shared" si="41"/>
        <v>-3.7036324575657455E-2</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14.653986674687236</v>
      </c>
      <c r="X110" s="590">
        <f t="shared" si="49"/>
        <v>-100.51643971223199</v>
      </c>
      <c r="Y110" s="593">
        <f t="shared" si="50"/>
        <v>79.483560287768015</v>
      </c>
      <c r="AA110" s="150">
        <f t="shared" si="51"/>
        <v>1000000000</v>
      </c>
      <c r="AB110" s="150">
        <f t="shared" si="52"/>
        <v>30906928.359999996</v>
      </c>
      <c r="AD110" s="592">
        <f t="shared" si="53"/>
        <v>27.841232731703954</v>
      </c>
      <c r="AE110" s="593">
        <f t="shared" si="54"/>
        <v>-15.013087850630567</v>
      </c>
      <c r="AG110" s="592">
        <f t="shared" si="55"/>
        <v>12.235578969978446</v>
      </c>
      <c r="AH110" s="593">
        <f t="shared" si="56"/>
        <v>-77.50418266933363</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5">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1.0007021222076151</v>
      </c>
      <c r="N111" s="585">
        <f t="shared" si="41"/>
        <v>-3.7462291457028826E-2</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14.552239227198756</v>
      </c>
      <c r="X111" s="590">
        <f t="shared" si="49"/>
        <v>-100.57235075705435</v>
      </c>
      <c r="Y111" s="593">
        <f t="shared" si="50"/>
        <v>79.427649242945648</v>
      </c>
      <c r="AA111" s="150">
        <f t="shared" si="51"/>
        <v>1000000000</v>
      </c>
      <c r="AB111" s="150">
        <f t="shared" si="52"/>
        <v>31622627.559999995</v>
      </c>
      <c r="AD111" s="592">
        <f t="shared" si="53"/>
        <v>27.835858068307804</v>
      </c>
      <c r="AE111" s="593">
        <f t="shared" si="54"/>
        <v>-14.884291374875332</v>
      </c>
      <c r="AG111" s="592">
        <f t="shared" si="55"/>
        <v>12.139852017133673</v>
      </c>
      <c r="AH111" s="593">
        <f t="shared" si="56"/>
        <v>-77.596952321563236</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5">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1.0007185678566692</v>
      </c>
      <c r="N112" s="585">
        <f t="shared" si="41"/>
        <v>-3.7898227853219772E-2</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14.449336492494009</v>
      </c>
      <c r="X112" s="590">
        <f t="shared" si="49"/>
        <v>-100.63019563333056</v>
      </c>
      <c r="Y112" s="593">
        <f t="shared" si="50"/>
        <v>79.369804366669442</v>
      </c>
      <c r="AA112" s="150">
        <f t="shared" si="51"/>
        <v>1000000000</v>
      </c>
      <c r="AB112" s="150">
        <f t="shared" si="52"/>
        <v>32363583.209999997</v>
      </c>
      <c r="AD112" s="592">
        <f t="shared" si="53"/>
        <v>27.830534170431282</v>
      </c>
      <c r="AE112" s="593">
        <f t="shared" si="54"/>
        <v>-14.755726718343322</v>
      </c>
      <c r="AG112" s="592">
        <f t="shared" si="55"/>
        <v>12.042941755879129</v>
      </c>
      <c r="AH112" s="593">
        <f t="shared" si="56"/>
        <v>-77.689274470451593</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5">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1.0007352036765504</v>
      </c>
      <c r="N113" s="585">
        <f t="shared" si="41"/>
        <v>-3.8334149838588349E-2</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14.347647779891023</v>
      </c>
      <c r="X113" s="590">
        <f t="shared" si="49"/>
        <v>-100.68865347698754</v>
      </c>
      <c r="Y113" s="593">
        <f t="shared" si="50"/>
        <v>79.31134652301246</v>
      </c>
      <c r="AA113" s="150">
        <f t="shared" si="51"/>
        <v>1000000000</v>
      </c>
      <c r="AB113" s="150">
        <f t="shared" si="52"/>
        <v>33113119.359999996</v>
      </c>
      <c r="AD113" s="592">
        <f t="shared" si="53"/>
        <v>27.825381320452408</v>
      </c>
      <c r="AE113" s="593">
        <f t="shared" si="54"/>
        <v>-14.630346382389121</v>
      </c>
      <c r="AG113" s="592">
        <f t="shared" si="55"/>
        <v>11.947082162979267</v>
      </c>
      <c r="AH113" s="593">
        <f t="shared" si="56"/>
        <v>-77.779030666385239</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5">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1.0007524172127977</v>
      </c>
      <c r="N114" s="585">
        <f t="shared" si="41"/>
        <v>-3.8780039688593268E-2</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14.244856336593489</v>
      </c>
      <c r="X114" s="590">
        <f t="shared" si="49"/>
        <v>-100.74906629827842</v>
      </c>
      <c r="Y114" s="593">
        <f t="shared" si="50"/>
        <v>79.250933701721578</v>
      </c>
      <c r="AA114" s="150">
        <f t="shared" si="51"/>
        <v>1000000000</v>
      </c>
      <c r="AB114" s="150">
        <f t="shared" si="52"/>
        <v>33888697.959999993</v>
      </c>
      <c r="AD114" s="592">
        <f t="shared" si="53"/>
        <v>27.820279742473417</v>
      </c>
      <c r="AE114" s="593">
        <f t="shared" si="54"/>
        <v>-14.505284711367718</v>
      </c>
      <c r="AG114" s="592">
        <f t="shared" si="55"/>
        <v>11.850092013222193</v>
      </c>
      <c r="AH114" s="593">
        <f t="shared" si="56"/>
        <v>-77.868274276871858</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5">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1.0007698297095298</v>
      </c>
      <c r="N115" s="585">
        <f t="shared" si="41"/>
        <v>-3.9225914111077079E-2</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14.143275285744393</v>
      </c>
      <c r="X115" s="590">
        <f t="shared" si="49"/>
        <v>-100.81008469082519</v>
      </c>
      <c r="Y115" s="593">
        <f t="shared" si="50"/>
        <v>79.189915309174808</v>
      </c>
      <c r="AA115" s="150">
        <f t="shared" si="51"/>
        <v>1000000000</v>
      </c>
      <c r="AB115" s="150">
        <f t="shared" si="52"/>
        <v>34673254.559999995</v>
      </c>
      <c r="AD115" s="592">
        <f t="shared" si="53"/>
        <v>27.815341935947711</v>
      </c>
      <c r="AE115" s="593">
        <f t="shared" si="54"/>
        <v>-14.383346965659378</v>
      </c>
      <c r="AG115" s="592">
        <f t="shared" si="55"/>
        <v>11.754156531524369</v>
      </c>
      <c r="AH115" s="593">
        <f t="shared" si="56"/>
        <v>-77.95500531348641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5">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1.000787864160392</v>
      </c>
      <c r="N116" s="585">
        <f t="shared" si="41"/>
        <v>-3.9682420112115417E-2</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14.040492572962116</v>
      </c>
      <c r="X116" s="590">
        <f t="shared" si="49"/>
        <v>-100.87316973831695</v>
      </c>
      <c r="Y116" s="593">
        <f t="shared" si="50"/>
        <v>79.126830261683054</v>
      </c>
      <c r="AA116" s="150">
        <f t="shared" si="51"/>
        <v>1000000000</v>
      </c>
      <c r="AB116" s="150">
        <f t="shared" si="52"/>
        <v>35485849</v>
      </c>
      <c r="AD116" s="592">
        <f t="shared" si="53"/>
        <v>27.810448503808711</v>
      </c>
      <c r="AE116" s="593">
        <f t="shared" si="54"/>
        <v>-14.26163094552671</v>
      </c>
      <c r="AG116" s="592">
        <f t="shared" si="55"/>
        <v>11.657000251018577</v>
      </c>
      <c r="AH116" s="593">
        <f t="shared" si="56"/>
        <v>-78.041289423961686</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5">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1.0008061071656307</v>
      </c>
      <c r="N117" s="585">
        <f t="shared" si="41"/>
        <v>-4.0138909565615284E-2</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13.938919011779063</v>
      </c>
      <c r="X117" s="590">
        <f t="shared" si="49"/>
        <v>-100.93685381898088</v>
      </c>
      <c r="Y117" s="593">
        <f t="shared" si="50"/>
        <v>79.063146181019121</v>
      </c>
      <c r="AA117" s="150">
        <f t="shared" si="51"/>
        <v>1000000000</v>
      </c>
      <c r="AB117" s="150">
        <f t="shared" si="52"/>
        <v>36307855.360000007</v>
      </c>
      <c r="AD117" s="592">
        <f t="shared" si="53"/>
        <v>27.805712142185783</v>
      </c>
      <c r="AE117" s="593">
        <f t="shared" si="54"/>
        <v>-14.142984841287962</v>
      </c>
      <c r="AG117" s="592">
        <f t="shared" si="55"/>
        <v>11.560904483717662</v>
      </c>
      <c r="AH117" s="593">
        <f t="shared" si="56"/>
        <v>-78.125108850355616</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5">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1.0008249915592684</v>
      </c>
      <c r="N118" s="585">
        <f t="shared" si="41"/>
        <v>-4.0606028674953304E-2</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13.83619830947713</v>
      </c>
      <c r="X118" s="590">
        <f t="shared" si="49"/>
        <v>-101.00262547779474</v>
      </c>
      <c r="Y118" s="593">
        <f t="shared" si="50"/>
        <v>78.997374522205263</v>
      </c>
      <c r="AA118" s="150">
        <f t="shared" si="51"/>
        <v>1000000000</v>
      </c>
      <c r="AB118" s="150">
        <f t="shared" si="52"/>
        <v>37158777.640000001</v>
      </c>
      <c r="AD118" s="592">
        <f t="shared" si="53"/>
        <v>27.801020816679216</v>
      </c>
      <c r="AE118" s="593">
        <f t="shared" si="54"/>
        <v>-14.024648114607807</v>
      </c>
      <c r="AG118" s="592">
        <f t="shared" si="55"/>
        <v>11.463642559402151</v>
      </c>
      <c r="AH118" s="593">
        <f t="shared" si="56"/>
        <v>-78.20841534086523</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5">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1.0008440943249131</v>
      </c>
      <c r="N119" s="585">
        <f t="shared" si="41"/>
        <v>-4.1073130054727458E-2</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13.734684257544636</v>
      </c>
      <c r="X119" s="590">
        <f t="shared" si="49"/>
        <v>-101.06898869206607</v>
      </c>
      <c r="Y119" s="593">
        <f t="shared" si="50"/>
        <v>78.931011307933929</v>
      </c>
      <c r="AA119" s="150">
        <f t="shared" si="51"/>
        <v>1000000000</v>
      </c>
      <c r="AB119" s="150">
        <f t="shared" si="52"/>
        <v>38019556</v>
      </c>
      <c r="AD119" s="592">
        <f t="shared" si="53"/>
        <v>27.796479935543076</v>
      </c>
      <c r="AE119" s="593">
        <f t="shared" si="54"/>
        <v>-13.909324309949014</v>
      </c>
      <c r="AG119" s="592">
        <f t="shared" si="55"/>
        <v>11.367445666888417</v>
      </c>
      <c r="AH119" s="593">
        <f t="shared" si="56"/>
        <v>-78.289307104911813</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5">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1.0008638583626304</v>
      </c>
      <c r="N120" s="585">
        <f t="shared" si="41"/>
        <v>-4.1550859068101173E-2</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13.63207497434235</v>
      </c>
      <c r="X120" s="590">
        <f t="shared" si="49"/>
        <v>-101.13745853948792</v>
      </c>
      <c r="Y120" s="593">
        <f t="shared" si="50"/>
        <v>78.862541460512077</v>
      </c>
      <c r="AA120" s="150">
        <f t="shared" si="51"/>
        <v>1000000000</v>
      </c>
      <c r="AB120" s="150">
        <f t="shared" si="52"/>
        <v>38910148.840000004</v>
      </c>
      <c r="AD120" s="592">
        <f t="shared" si="53"/>
        <v>27.791984372576756</v>
      </c>
      <c r="AE120" s="593">
        <f t="shared" si="54"/>
        <v>-13.794388929212873</v>
      </c>
      <c r="AG120" s="592">
        <f t="shared" si="55"/>
        <v>11.270135045445898</v>
      </c>
      <c r="AH120" s="593">
        <f t="shared" si="56"/>
        <v>-78.369626697727597</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5">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1.0008838508134603</v>
      </c>
      <c r="N121" s="585">
        <f t="shared" si="41"/>
        <v>-4.2028569105417399E-2</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13.530668676321138</v>
      </c>
      <c r="X121" s="590">
        <f t="shared" si="49"/>
        <v>-101.20651162195767</v>
      </c>
      <c r="Y121" s="593">
        <f t="shared" si="50"/>
        <v>78.793488378042326</v>
      </c>
      <c r="AA121" s="150">
        <f t="shared" si="51"/>
        <v>1000000000</v>
      </c>
      <c r="AB121" s="150">
        <f t="shared" si="52"/>
        <v>39811052.160000004</v>
      </c>
      <c r="AD121" s="592">
        <f t="shared" si="53"/>
        <v>27.787632730715714</v>
      </c>
      <c r="AE121" s="593">
        <f t="shared" si="54"/>
        <v>-13.68240696383663</v>
      </c>
      <c r="AG121" s="592">
        <f t="shared" si="55"/>
        <v>11.173892716140475</v>
      </c>
      <c r="AH121" s="593">
        <f t="shared" si="56"/>
        <v>-78.447583215688852</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5">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1.0009045390335598</v>
      </c>
      <c r="N122" s="585">
        <f t="shared" si="41"/>
        <v>-4.2517237297582208E-2</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13.428147172337184</v>
      </c>
      <c r="X122" s="590">
        <f t="shared" si="49"/>
        <v>-101.27773730910823</v>
      </c>
      <c r="Y122" s="593">
        <f t="shared" si="50"/>
        <v>78.722262690891768</v>
      </c>
      <c r="AA122" s="150">
        <f t="shared" si="51"/>
        <v>1000000000</v>
      </c>
      <c r="AB122" s="150">
        <f t="shared" si="52"/>
        <v>40743327.302500002</v>
      </c>
      <c r="AD122" s="592">
        <f t="shared" si="53"/>
        <v>27.783323474810157</v>
      </c>
      <c r="AE122" s="593">
        <f t="shared" si="54"/>
        <v>-13.570809495424088</v>
      </c>
      <c r="AG122" s="592">
        <f t="shared" si="55"/>
        <v>11.076521008702871</v>
      </c>
      <c r="AH122" s="593">
        <f t="shared" si="56"/>
        <v>-78.524966481206107</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5">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1.0009254662563485</v>
      </c>
      <c r="N123" s="585">
        <f t="shared" si="41"/>
        <v>-4.3005885172405174E-2</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13.32682553060125</v>
      </c>
      <c r="X123" s="590">
        <f t="shared" si="49"/>
        <v>-101.34953793273608</v>
      </c>
      <c r="Y123" s="593">
        <f t="shared" si="50"/>
        <v>78.650462067263916</v>
      </c>
      <c r="AA123" s="150">
        <f t="shared" si="51"/>
        <v>1000000000</v>
      </c>
      <c r="AB123" s="150">
        <f t="shared" si="52"/>
        <v>41686392.25</v>
      </c>
      <c r="AD123" s="592">
        <f t="shared" si="53"/>
        <v>27.779151926594565</v>
      </c>
      <c r="AE123" s="593">
        <f t="shared" si="54"/>
        <v>-13.462107740226545</v>
      </c>
      <c r="AG123" s="592">
        <f t="shared" si="55"/>
        <v>10.980221107807466</v>
      </c>
      <c r="AH123" s="593">
        <f t="shared" si="56"/>
        <v>-78.600036576020258</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5">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1.0009471396820264</v>
      </c>
      <c r="N124" s="585">
        <f t="shared" si="41"/>
        <v>-4.350615414886895E-2</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13.224303375520641</v>
      </c>
      <c r="X124" s="590">
        <f t="shared" si="49"/>
        <v>-101.42362721648121</v>
      </c>
      <c r="Y124" s="593">
        <f t="shared" si="50"/>
        <v>78.576372783518792</v>
      </c>
      <c r="AA124" s="150">
        <f t="shared" si="51"/>
        <v>1000000000</v>
      </c>
      <c r="AB124" s="150">
        <f t="shared" si="52"/>
        <v>42663104.890000001</v>
      </c>
      <c r="AD124" s="592">
        <f t="shared" si="53"/>
        <v>27.775017385272896</v>
      </c>
      <c r="AE124" s="593">
        <f t="shared" si="54"/>
        <v>-13.353719556681536</v>
      </c>
      <c r="AG124" s="592">
        <f t="shared" si="55"/>
        <v>10.882713940078165</v>
      </c>
      <c r="AH124" s="593">
        <f t="shared" si="56"/>
        <v>-78.67457772782133</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5">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1.000969063602908</v>
      </c>
      <c r="N125" s="585">
        <f t="shared" si="41"/>
        <v>-4.4006401336046178E-2</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13.122980004326593</v>
      </c>
      <c r="X125" s="590">
        <f t="shared" si="49"/>
        <v>-101.49828388334134</v>
      </c>
      <c r="Y125" s="593">
        <f t="shared" si="50"/>
        <v>78.501716116658656</v>
      </c>
      <c r="AA125" s="150">
        <f t="shared" si="51"/>
        <v>1000000000</v>
      </c>
      <c r="AB125" s="150">
        <f t="shared" si="52"/>
        <v>43651127.609999992</v>
      </c>
      <c r="AD125" s="592">
        <f t="shared" si="53"/>
        <v>27.771014795507433</v>
      </c>
      <c r="AE125" s="593">
        <f t="shared" si="54"/>
        <v>-13.248174701181737</v>
      </c>
      <c r="AG125" s="592">
        <f t="shared" si="55"/>
        <v>10.786283716498826</v>
      </c>
      <c r="AH125" s="593">
        <f t="shared" si="56"/>
        <v>-78.746851089903544</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5">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1.0009917570112916</v>
      </c>
      <c r="N126" s="585">
        <f t="shared" si="41"/>
        <v>-4.451826709841282E-2</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13.020510200796407</v>
      </c>
      <c r="X126" s="590">
        <f t="shared" si="49"/>
        <v>-101.57524764957806</v>
      </c>
      <c r="Y126" s="593">
        <f t="shared" si="50"/>
        <v>78.42475235042194</v>
      </c>
      <c r="AA126" s="150">
        <f t="shared" si="51"/>
        <v>1000000000</v>
      </c>
      <c r="AB126" s="150">
        <f t="shared" si="52"/>
        <v>44673850.822500005</v>
      </c>
      <c r="AD126" s="592">
        <f t="shared" si="53"/>
        <v>27.767049633874379</v>
      </c>
      <c r="AE126" s="593">
        <f t="shared" si="54"/>
        <v>-13.143022035868446</v>
      </c>
      <c r="AG126" s="592">
        <f t="shared" si="55"/>
        <v>10.688700821407375</v>
      </c>
      <c r="AH126" s="593">
        <f t="shared" si="56"/>
        <v>-78.818536273381937</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5">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1.0010147126741495</v>
      </c>
      <c r="N127" s="585">
        <f t="shared" si="41"/>
        <v>-4.5030109518266706E-2</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12.919236855488696</v>
      </c>
      <c r="X127" s="590">
        <f t="shared" si="49"/>
        <v>-101.65277043781305</v>
      </c>
      <c r="Y127" s="593">
        <f t="shared" si="50"/>
        <v>78.347229562186953</v>
      </c>
      <c r="AA127" s="150">
        <f t="shared" si="51"/>
        <v>1000000000</v>
      </c>
      <c r="AB127" s="150">
        <f t="shared" si="52"/>
        <v>45708416.640000001</v>
      </c>
      <c r="AD127" s="592">
        <f t="shared" si="53"/>
        <v>27.763210742116943</v>
      </c>
      <c r="AE127" s="593">
        <f t="shared" si="54"/>
        <v>-13.040657738062333</v>
      </c>
      <c r="AG127" s="592">
        <f t="shared" si="55"/>
        <v>10.592198696478521</v>
      </c>
      <c r="AH127" s="593">
        <f t="shared" si="56"/>
        <v>-78.888000845809245</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5">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1.0010384768208858</v>
      </c>
      <c r="N128" s="585">
        <f t="shared" si="41"/>
        <v>-4.5553900414137476E-2</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12.816803929792556</v>
      </c>
      <c r="X128" s="590">
        <f t="shared" si="49"/>
        <v>-101.73266792756485</v>
      </c>
      <c r="Y128" s="593">
        <f t="shared" si="50"/>
        <v>78.267332072435153</v>
      </c>
      <c r="AA128" s="150">
        <f t="shared" si="51"/>
        <v>1000000000</v>
      </c>
      <c r="AB128" s="150">
        <f t="shared" si="52"/>
        <v>46779444.202500001</v>
      </c>
      <c r="AD128" s="592">
        <f t="shared" si="53"/>
        <v>27.759407011779484</v>
      </c>
      <c r="AE128" s="593">
        <f t="shared" si="54"/>
        <v>-12.938692522580867</v>
      </c>
      <c r="AG128" s="592">
        <f t="shared" si="55"/>
        <v>10.49453459132204</v>
      </c>
      <c r="AH128" s="593">
        <f t="shared" si="56"/>
        <v>-78.956867200919831</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5">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1.0010625155963542</v>
      </c>
      <c r="N129" s="585">
        <f t="shared" si="41"/>
        <v>-4.6077666297846313E-2</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12.715565481554584</v>
      </c>
      <c r="X129" s="590">
        <f t="shared" si="49"/>
        <v>-101.81311605010465</v>
      </c>
      <c r="Y129" s="593">
        <f t="shared" si="50"/>
        <v>78.186883949895346</v>
      </c>
      <c r="AA129" s="150">
        <f t="shared" si="51"/>
        <v>1000000000</v>
      </c>
      <c r="AB129" s="150">
        <f t="shared" si="52"/>
        <v>47862874.890000001</v>
      </c>
      <c r="AD129" s="592">
        <f t="shared" si="53"/>
        <v>27.755724116855411</v>
      </c>
      <c r="AE129" s="593">
        <f t="shared" si="54"/>
        <v>-12.839461986451575</v>
      </c>
      <c r="AG129" s="592">
        <f t="shared" si="55"/>
        <v>10.397955204175805</v>
      </c>
      <c r="AH129" s="593">
        <f t="shared" si="56"/>
        <v>-79.023558866342881</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5">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1.0010874034535209</v>
      </c>
      <c r="N130" s="585">
        <f t="shared" si="41"/>
        <v>-4.6613710324491339E-2</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12.613156322552499</v>
      </c>
      <c r="X130" s="590">
        <f t="shared" si="49"/>
        <v>-101.89600688594209</v>
      </c>
      <c r="Y130" s="593">
        <f t="shared" si="50"/>
        <v>78.103993114057914</v>
      </c>
      <c r="AA130" s="150">
        <f t="shared" si="51"/>
        <v>1000000000</v>
      </c>
      <c r="AB130" s="150">
        <f t="shared" si="52"/>
        <v>48984601.209999993</v>
      </c>
      <c r="AD130" s="592">
        <f t="shared" si="53"/>
        <v>27.752074289286995</v>
      </c>
      <c r="AE130" s="593">
        <f t="shared" si="54"/>
        <v>-12.740640285347441</v>
      </c>
      <c r="AG130" s="592">
        <f t="shared" si="55"/>
        <v>10.300206436791061</v>
      </c>
      <c r="AH130" s="593">
        <f t="shared" si="56"/>
        <v>-79.08963991180903</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5">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1.0011125789519935</v>
      </c>
      <c r="N131" s="585">
        <f t="shared" si="41"/>
        <v>-4.7149727544795239E-2</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12.511939948275934</v>
      </c>
      <c r="X131" s="590">
        <f t="shared" si="49"/>
        <v>-101.97943992409722</v>
      </c>
      <c r="Y131" s="593">
        <f t="shared" si="50"/>
        <v>78.020560075902779</v>
      </c>
      <c r="AA131" s="150">
        <f t="shared" si="51"/>
        <v>1000000000</v>
      </c>
      <c r="AB131" s="150">
        <f t="shared" si="52"/>
        <v>50119320.25</v>
      </c>
      <c r="AD131" s="592">
        <f t="shared" si="53"/>
        <v>27.748540092993039</v>
      </c>
      <c r="AE131" s="593">
        <f t="shared" si="54"/>
        <v>-12.644500706923518</v>
      </c>
      <c r="AG131" s="592">
        <f t="shared" si="55"/>
        <v>10.203546417989219</v>
      </c>
      <c r="AH131" s="593">
        <f t="shared" si="56"/>
        <v>-79.15359106234996</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5">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1.0011386298977294</v>
      </c>
      <c r="N132" s="585">
        <f t="shared" si="41"/>
        <v>-4.769801983454354E-2</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12.409605319791559</v>
      </c>
      <c r="X132" s="590">
        <f t="shared" si="49"/>
        <v>-102.06533178081632</v>
      </c>
      <c r="Y132" s="593">
        <f t="shared" si="50"/>
        <v>77.934668219183678</v>
      </c>
      <c r="AA132" s="150">
        <f t="shared" si="51"/>
        <v>1000000000</v>
      </c>
      <c r="AB132" s="150">
        <f t="shared" si="52"/>
        <v>51293527.802499995</v>
      </c>
      <c r="AD132" s="592">
        <f t="shared" si="53"/>
        <v>27.745039109380095</v>
      </c>
      <c r="AE132" s="593">
        <f t="shared" si="54"/>
        <v>-12.548839429235841</v>
      </c>
      <c r="AG132" s="592">
        <f t="shared" si="55"/>
        <v>10.105770387230283</v>
      </c>
      <c r="AH132" s="593">
        <f t="shared" si="56"/>
        <v>-79.216879379269386</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5">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1.0011649817944848</v>
      </c>
      <c r="N133" s="585">
        <f t="shared" si="41"/>
        <v>-4.8246283425647865E-2</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12.308460592461124</v>
      </c>
      <c r="X133" s="590">
        <f t="shared" si="49"/>
        <v>-102.15175672018103</v>
      </c>
      <c r="Y133" s="593">
        <f t="shared" si="50"/>
        <v>77.848243279818973</v>
      </c>
      <c r="AA133" s="150">
        <f t="shared" si="51"/>
        <v>1000000000</v>
      </c>
      <c r="AB133" s="150">
        <f t="shared" si="52"/>
        <v>52481331.359999992</v>
      </c>
      <c r="AD133" s="592">
        <f t="shared" si="53"/>
        <v>27.741648637141783</v>
      </c>
      <c r="AE133" s="593">
        <f t="shared" si="54"/>
        <v>-12.455805590903084</v>
      </c>
      <c r="AG133" s="592">
        <f t="shared" si="55"/>
        <v>10.009085871736945</v>
      </c>
      <c r="AH133" s="593">
        <f t="shared" si="56"/>
        <v>-79.278084069685079</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5">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1.0011922523603849</v>
      </c>
      <c r="N134" s="585">
        <f t="shared" si="41"/>
        <v>-4.8807151310962936E-2</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12.206187294929538</v>
      </c>
      <c r="X134" s="590">
        <f t="shared" si="49"/>
        <v>-102.24070785413265</v>
      </c>
      <c r="Y134" s="593">
        <f t="shared" si="50"/>
        <v>77.759292145867349</v>
      </c>
      <c r="AA134" s="150">
        <f t="shared" si="51"/>
        <v>1000000000</v>
      </c>
      <c r="AB134" s="150">
        <f t="shared" si="52"/>
        <v>53710576.5625</v>
      </c>
      <c r="AD134" s="592">
        <f t="shared" si="53"/>
        <v>27.7382893082208</v>
      </c>
      <c r="AE134" s="593">
        <f t="shared" si="54"/>
        <v>-12.363258288934896</v>
      </c>
      <c r="AG134" s="592">
        <f t="shared" si="55"/>
        <v>9.9112788376235201</v>
      </c>
      <c r="AH134" s="593">
        <f t="shared" si="56"/>
        <v>-79.338614569279542</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5">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1.0012198378569055</v>
      </c>
      <c r="N135" s="585">
        <f t="shared" si="41"/>
        <v>-4.9367988466756087E-2</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12.105101305523466</v>
      </c>
      <c r="X135" s="590">
        <f t="shared" si="49"/>
        <v>-102.33018295846772</v>
      </c>
      <c r="Y135" s="593">
        <f t="shared" si="50"/>
        <v>77.669817041532283</v>
      </c>
      <c r="AA135" s="150">
        <f t="shared" si="51"/>
        <v>1000000000</v>
      </c>
      <c r="AB135" s="150">
        <f t="shared" si="52"/>
        <v>54954051.610000007</v>
      </c>
      <c r="AD135" s="592">
        <f t="shared" si="53"/>
        <v>27.735035595587508</v>
      </c>
      <c r="AE135" s="593">
        <f t="shared" si="54"/>
        <v>-12.273285010978471</v>
      </c>
      <c r="AG135" s="592">
        <f t="shared" si="55"/>
        <v>9.8145661773204456</v>
      </c>
      <c r="AH135" s="593">
        <f t="shared" si="56"/>
        <v>-79.397106501484387</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5">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1.0012484036184823</v>
      </c>
      <c r="N136" s="585">
        <f t="shared" si="41"/>
        <v>-4.9942091283655829E-2</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12.002819314518904</v>
      </c>
      <c r="X136" s="590">
        <f t="shared" si="49"/>
        <v>-102.42230543183079</v>
      </c>
      <c r="Y136" s="593">
        <f t="shared" si="50"/>
        <v>77.577694568169207</v>
      </c>
      <c r="AA136" s="150">
        <f t="shared" si="51"/>
        <v>1000000000</v>
      </c>
      <c r="AB136" s="150">
        <f t="shared" si="52"/>
        <v>56241750.302499995</v>
      </c>
      <c r="AD136" s="592">
        <f t="shared" si="53"/>
        <v>27.731809259713202</v>
      </c>
      <c r="AE136" s="593">
        <f t="shared" si="54"/>
        <v>-12.183757714892817</v>
      </c>
      <c r="AG136" s="592">
        <f t="shared" si="55"/>
        <v>9.7166698174450339</v>
      </c>
      <c r="AH136" s="593">
        <f t="shared" si="56"/>
        <v>-79.454943888106556</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5">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1.0012772993666768</v>
      </c>
      <c r="N137" s="585">
        <f t="shared" si="41"/>
        <v>-5.0516161153820176E-2</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11.901723636449741</v>
      </c>
      <c r="X137" s="590">
        <f t="shared" si="49"/>
        <v>-102.51494334618292</v>
      </c>
      <c r="Y137" s="593">
        <f t="shared" si="50"/>
        <v>77.485056653817082</v>
      </c>
      <c r="AA137" s="150">
        <f t="shared" si="51"/>
        <v>1000000000</v>
      </c>
      <c r="AB137" s="150">
        <f t="shared" si="52"/>
        <v>57544361.640000001</v>
      </c>
      <c r="AD137" s="592">
        <f t="shared" si="53"/>
        <v>27.728683969515181</v>
      </c>
      <c r="AE137" s="593">
        <f t="shared" si="54"/>
        <v>-12.096755050576695</v>
      </c>
      <c r="AG137" s="592">
        <f t="shared" si="55"/>
        <v>9.6198720056806675</v>
      </c>
      <c r="AH137" s="593">
        <f t="shared" si="56"/>
        <v>-79.510784395246233</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5">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1.0013072058950747</v>
      </c>
      <c r="N138" s="585">
        <f t="shared" si="41"/>
        <v>-5.1103492881159687E-2</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11.799485290451877</v>
      </c>
      <c r="X138" s="590">
        <f t="shared" si="49"/>
        <v>-102.61024364579411</v>
      </c>
      <c r="Y138" s="593">
        <f t="shared" si="50"/>
        <v>77.389756354205886</v>
      </c>
      <c r="AA138" s="150">
        <f t="shared" si="51"/>
        <v>1000000000</v>
      </c>
      <c r="AB138" s="150">
        <f t="shared" si="52"/>
        <v>58892578.222499996</v>
      </c>
      <c r="AD138" s="592">
        <f t="shared" si="53"/>
        <v>27.725586200496068</v>
      </c>
      <c r="AE138" s="593">
        <f t="shared" si="54"/>
        <v>-12.010264864236431</v>
      </c>
      <c r="AG138" s="592">
        <f t="shared" si="55"/>
        <v>9.5219449041371362</v>
      </c>
      <c r="AH138" s="593">
        <f t="shared" si="56"/>
        <v>-79.565920294564563</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5">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1.0013374578122605</v>
      </c>
      <c r="N139" s="585">
        <f t="shared" si="41"/>
        <v>-5.1690789322724626E-2</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11.698431034706092</v>
      </c>
      <c r="X139" s="590">
        <f t="shared" si="49"/>
        <v>-102.70605021307527</v>
      </c>
      <c r="Y139" s="593">
        <f t="shared" si="50"/>
        <v>77.293949786924728</v>
      </c>
      <c r="AA139" s="150">
        <f t="shared" si="51"/>
        <v>1000000000</v>
      </c>
      <c r="AB139" s="150">
        <f t="shared" si="52"/>
        <v>60256406.25</v>
      </c>
      <c r="AD139" s="592">
        <f t="shared" si="53"/>
        <v>27.722584976609252</v>
      </c>
      <c r="AE139" s="593">
        <f t="shared" si="54"/>
        <v>-11.926247871301943</v>
      </c>
      <c r="AG139" s="592">
        <f t="shared" si="55"/>
        <v>9.4251192403314228</v>
      </c>
      <c r="AH139" s="593">
        <f t="shared" si="56"/>
        <v>-79.619102449331933</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5">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1.0013687691400819</v>
      </c>
      <c r="N140" s="585">
        <f t="shared" si="41"/>
        <v>-5.2291675960381263E-2</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11.596228720186312</v>
      </c>
      <c r="X140" s="590">
        <f t="shared" si="49"/>
        <v>-102.80458726310373</v>
      </c>
      <c r="Y140" s="593">
        <f t="shared" si="50"/>
        <v>77.195412736896273</v>
      </c>
      <c r="AA140" s="150">
        <f t="shared" si="51"/>
        <v>1000000000</v>
      </c>
      <c r="AB140" s="150">
        <f t="shared" si="52"/>
        <v>61668038.409999996</v>
      </c>
      <c r="AD140" s="592">
        <f t="shared" si="53"/>
        <v>27.719609567454206</v>
      </c>
      <c r="AE140" s="593">
        <f t="shared" si="54"/>
        <v>-11.842757521691503</v>
      </c>
      <c r="AG140" s="592">
        <f t="shared" si="55"/>
        <v>9.3271625560675027</v>
      </c>
      <c r="AH140" s="593">
        <f t="shared" si="56"/>
        <v>-79.671563759422469</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5">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1.0014004420041824</v>
      </c>
      <c r="N141" s="585">
        <f t="shared" ref="N141:N204" si="74">-ATAN(G141/z_RHP)</f>
        <v>-5.2892524804601569E-2</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11.495208428347263</v>
      </c>
      <c r="X141" s="590">
        <f t="shared" ref="X141:X204" si="82">((L141+R141+N141+V141)-(J141+P141+T141))*radconv</f>
        <v>-102.90362138603356</v>
      </c>
      <c r="Y141" s="593">
        <f t="shared" ref="Y141:Y204" si="83">IF(X141&gt;0,X141,X141+180)</f>
        <v>77.096378613966436</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9.2303101968545089</v>
      </c>
      <c r="AH141" s="593">
        <f t="shared" ref="AH141:AH204" si="89">(L141+N141-(J141+V141))*radconv</f>
        <v>-79.722113534554722</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5">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1.0014332248275419</v>
      </c>
      <c r="N142" s="585">
        <f t="shared" si="74"/>
        <v>-5.3507291851310271E-2</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11.393036130165282</v>
      </c>
      <c r="X142" s="590">
        <f t="shared" si="82"/>
        <v>-103.00545423712518</v>
      </c>
      <c r="Y142" s="593">
        <f t="shared" si="83"/>
        <v>76.994545762874822</v>
      </c>
      <c r="AA142" s="150">
        <f t="shared" si="84"/>
        <v>1000000000</v>
      </c>
      <c r="AB142" s="150">
        <f t="shared" si="85"/>
        <v>64574081.640000001</v>
      </c>
      <c r="AD142" s="592">
        <f t="shared" si="86"/>
        <v>27.713867413960568</v>
      </c>
      <c r="AE142" s="593">
        <f t="shared" si="87"/>
        <v>-11.681164586867085</v>
      </c>
      <c r="AG142" s="592">
        <f t="shared" si="88"/>
        <v>9.1323265105113407</v>
      </c>
      <c r="AH142" s="593">
        <f t="shared" si="89"/>
        <v>-79.771924985815076</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5">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1.0014663861062316</v>
      </c>
      <c r="N143" s="585">
        <f t="shared" si="74"/>
        <v>-5.4122018417113643E-2</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11.292043903354269</v>
      </c>
      <c r="X143" s="590">
        <f t="shared" si="82"/>
        <v>-103.10777493752256</v>
      </c>
      <c r="Y143" s="593">
        <f t="shared" si="83"/>
        <v>76.892225062477436</v>
      </c>
      <c r="AA143" s="150">
        <f t="shared" si="84"/>
        <v>1000000000</v>
      </c>
      <c r="AB143" s="150">
        <f t="shared" si="85"/>
        <v>66069260.890000001</v>
      </c>
      <c r="AD143" s="592">
        <f t="shared" si="86"/>
        <v>27.711096530871401</v>
      </c>
      <c r="AE143" s="593">
        <f t="shared" si="87"/>
        <v>-11.603012416854828</v>
      </c>
      <c r="AG143" s="592">
        <f t="shared" si="88"/>
        <v>9.0354500070423693</v>
      </c>
      <c r="AH143" s="593">
        <f t="shared" si="89"/>
        <v>-79.819866261698735</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5">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1.0015007098737234</v>
      </c>
      <c r="N144" s="585">
        <f t="shared" si="74"/>
        <v>-5.4750990838386533E-2</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11.189897068722088</v>
      </c>
      <c r="X144" s="590">
        <f t="shared" si="82"/>
        <v>-103.21296271375452</v>
      </c>
      <c r="Y144" s="593">
        <f t="shared" si="83"/>
        <v>76.787037286245479</v>
      </c>
      <c r="AA144" s="150">
        <f t="shared" si="84"/>
        <v>1000000000</v>
      </c>
      <c r="AB144" s="150">
        <f t="shared" si="85"/>
        <v>67616906.702500015</v>
      </c>
      <c r="AD144" s="592">
        <f t="shared" si="86"/>
        <v>27.708348321867511</v>
      </c>
      <c r="AE144" s="593">
        <f t="shared" si="87"/>
        <v>-11.525419539483751</v>
      </c>
      <c r="AG144" s="592">
        <f t="shared" si="88"/>
        <v>8.9374432111076718</v>
      </c>
      <c r="AH144" s="593">
        <f t="shared" si="89"/>
        <v>-79.867050675817239</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5">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1.0015180203248144</v>
      </c>
      <c r="N145" s="585">
        <f t="shared" si="74"/>
        <v>-5.5065460819834551E-2</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11.139267218548737</v>
      </c>
      <c r="X145" s="590">
        <f t="shared" si="82"/>
        <v>-103.26573704571901</v>
      </c>
      <c r="Y145" s="593">
        <f t="shared" si="83"/>
        <v>76.734262954280993</v>
      </c>
      <c r="AA145" s="150">
        <f t="shared" si="84"/>
        <v>1000000000</v>
      </c>
      <c r="AB145" s="150">
        <f t="shared" si="85"/>
        <v>68397448.575625017</v>
      </c>
      <c r="AD145" s="592">
        <f t="shared" si="86"/>
        <v>27.707006002818098</v>
      </c>
      <c r="AE145" s="593">
        <f t="shared" si="87"/>
        <v>-11.487499563390196</v>
      </c>
      <c r="AG145" s="592">
        <f t="shared" si="88"/>
        <v>8.8888575595388684</v>
      </c>
      <c r="AH145" s="593">
        <f t="shared" si="89"/>
        <v>-79.889952920548851</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5">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1.0015354298139645</v>
      </c>
      <c r="N146" s="585">
        <f t="shared" si="74"/>
        <v>-5.5379919899641937E-2</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11.088928434801893</v>
      </c>
      <c r="X146" s="590">
        <f t="shared" si="82"/>
        <v>-103.31862908073929</v>
      </c>
      <c r="Y146" s="593">
        <f t="shared" si="83"/>
        <v>76.681370919260715</v>
      </c>
      <c r="AA146" s="150">
        <f t="shared" si="84"/>
        <v>1000000000</v>
      </c>
      <c r="AB146" s="150">
        <f t="shared" si="85"/>
        <v>69182469.760000005</v>
      </c>
      <c r="AD146" s="592">
        <f t="shared" si="86"/>
        <v>27.70568423202554</v>
      </c>
      <c r="AE146" s="593">
        <f t="shared" si="87"/>
        <v>-11.450151033761774</v>
      </c>
      <c r="AG146" s="592">
        <f t="shared" si="88"/>
        <v>8.8405464014275275</v>
      </c>
      <c r="AH146" s="593">
        <f t="shared" si="89"/>
        <v>-79.912405489648663</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5">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1.0015533557499658</v>
      </c>
      <c r="N147" s="585">
        <f t="shared" si="74"/>
        <v>-5.570184287712357E-2</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11.037690978129239</v>
      </c>
      <c r="X147" s="590">
        <f t="shared" si="82"/>
        <v>-103.37289840806012</v>
      </c>
      <c r="Y147" s="593">
        <f t="shared" si="83"/>
        <v>76.627101591939876</v>
      </c>
      <c r="AA147" s="150">
        <f t="shared" si="84"/>
        <v>1000000000</v>
      </c>
      <c r="AB147" s="150">
        <f t="shared" si="85"/>
        <v>69990792.602499992</v>
      </c>
      <c r="AD147" s="592">
        <f t="shared" si="86"/>
        <v>27.704351841715148</v>
      </c>
      <c r="AE147" s="593">
        <f t="shared" si="87"/>
        <v>-11.412496849063368</v>
      </c>
      <c r="AG147" s="592">
        <f t="shared" si="88"/>
        <v>8.7913680865678963</v>
      </c>
      <c r="AH147" s="593">
        <f t="shared" si="89"/>
        <v>-79.934933801655205</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5">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1.0015713854776302</v>
      </c>
      <c r="N148" s="585">
        <f t="shared" si="74"/>
        <v>-5.6023754297810702E-2</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10.986751428278826</v>
      </c>
      <c r="X148" s="590">
        <f t="shared" si="82"/>
        <v>-103.42728712060503</v>
      </c>
      <c r="Y148" s="593">
        <f t="shared" si="83"/>
        <v>76.57271287939497</v>
      </c>
      <c r="AA148" s="150">
        <f t="shared" si="84"/>
        <v>1000000000</v>
      </c>
      <c r="AB148" s="150">
        <f t="shared" si="85"/>
        <v>70803810.25</v>
      </c>
      <c r="AD148" s="592">
        <f t="shared" si="86"/>
        <v>27.70304001580039</v>
      </c>
      <c r="AE148" s="593">
        <f t="shared" si="87"/>
        <v>-11.375421916279153</v>
      </c>
      <c r="AG148" s="592">
        <f t="shared" si="88"/>
        <v>8.7424712787654641</v>
      </c>
      <c r="AH148" s="593">
        <f t="shared" si="89"/>
        <v>-79.957006558396088</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5">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1.0015895189913522</v>
      </c>
      <c r="N149" s="585">
        <f t="shared" si="74"/>
        <v>-5.6345654095611812E-2</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10.936106257539436</v>
      </c>
      <c r="X149" s="590">
        <f t="shared" si="82"/>
        <v>-103.48179326551644</v>
      </c>
      <c r="Y149" s="593">
        <f t="shared" si="83"/>
        <v>76.518206734483556</v>
      </c>
      <c r="AA149" s="150">
        <f t="shared" si="84"/>
        <v>1000000000</v>
      </c>
      <c r="AB149" s="150">
        <f t="shared" si="85"/>
        <v>71621522.702500015</v>
      </c>
      <c r="AD149" s="592">
        <f t="shared" si="86"/>
        <v>27.701748282677595</v>
      </c>
      <c r="AE149" s="593">
        <f t="shared" si="87"/>
        <v>-11.338916601306835</v>
      </c>
      <c r="AG149" s="592">
        <f t="shared" si="88"/>
        <v>8.6938529209419873</v>
      </c>
      <c r="AH149" s="593">
        <f t="shared" si="89"/>
        <v>-79.978631465355335</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5">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1.001607756285495</v>
      </c>
      <c r="N150" s="585">
        <f t="shared" si="74"/>
        <v>-5.6667542204449813E-2</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10.885752000483578</v>
      </c>
      <c r="X150" s="590">
        <f t="shared" si="82"/>
        <v>-103.53641492944493</v>
      </c>
      <c r="Y150" s="593">
        <f t="shared" si="83"/>
        <v>76.463585070555069</v>
      </c>
      <c r="AA150" s="150">
        <f t="shared" si="84"/>
        <v>1000000000</v>
      </c>
      <c r="AB150" s="150">
        <f t="shared" si="85"/>
        <v>72443929.959999993</v>
      </c>
      <c r="AD150" s="592">
        <f t="shared" si="86"/>
        <v>27.700476183810419</v>
      </c>
      <c r="AE150" s="593">
        <f t="shared" si="87"/>
        <v>-11.302971480571923</v>
      </c>
      <c r="AG150" s="592">
        <f t="shared" si="88"/>
        <v>8.64551000523055</v>
      </c>
      <c r="AH150" s="593">
        <f t="shared" si="89"/>
        <v>-79.999816056982198</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5">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1.0016265149714298</v>
      </c>
      <c r="N151" s="585">
        <f t="shared" si="74"/>
        <v>-5.699672624354786E-2</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10.834551857733199</v>
      </c>
      <c r="X151" s="590">
        <f t="shared" si="82"/>
        <v>-103.59239424298528</v>
      </c>
      <c r="Y151" s="593">
        <f t="shared" si="83"/>
        <v>76.407605757014721</v>
      </c>
      <c r="AA151" s="150">
        <f t="shared" si="84"/>
        <v>1000000000</v>
      </c>
      <c r="AB151" s="150">
        <f t="shared" si="85"/>
        <v>73289864.902500018</v>
      </c>
      <c r="AD151" s="592">
        <f t="shared" si="86"/>
        <v>27.699195046799154</v>
      </c>
      <c r="AE151" s="593">
        <f t="shared" si="87"/>
        <v>-11.266780078764606</v>
      </c>
      <c r="AG151" s="592">
        <f t="shared" si="88"/>
        <v>8.5963513300930323</v>
      </c>
      <c r="AH151" s="593">
        <f t="shared" si="89"/>
        <v>-80.021033873312064</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5">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1.0016453821916764</v>
      </c>
      <c r="N152" s="585">
        <f t="shared" si="74"/>
        <v>-5.7325897917143646E-2</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10.783648850048216</v>
      </c>
      <c r="X152" s="590">
        <f t="shared" si="82"/>
        <v>-103.64849045499713</v>
      </c>
      <c r="Y152" s="593">
        <f t="shared" si="83"/>
        <v>76.35150954500287</v>
      </c>
      <c r="AA152" s="150">
        <f t="shared" si="84"/>
        <v>1000000000</v>
      </c>
      <c r="AB152" s="150">
        <f t="shared" si="85"/>
        <v>74140710.25</v>
      </c>
      <c r="AD152" s="592">
        <f t="shared" si="86"/>
        <v>27.69793351563489</v>
      </c>
      <c r="AE152" s="593">
        <f t="shared" si="87"/>
        <v>-11.231155310406276</v>
      </c>
      <c r="AG152" s="592">
        <f t="shared" si="88"/>
        <v>8.5474745359396351</v>
      </c>
      <c r="AH152" s="593">
        <f t="shared" si="89"/>
        <v>-80.041806565984444</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5">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1.0016643579401021</v>
      </c>
      <c r="N153" s="585">
        <f t="shared" si="74"/>
        <v>-5.7655057154603839E-2</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10.733039463312508</v>
      </c>
      <c r="X153" s="590">
        <f t="shared" si="82"/>
        <v>-103.7047016408024</v>
      </c>
      <c r="Y153" s="593">
        <f t="shared" si="83"/>
        <v>76.295298359197602</v>
      </c>
      <c r="AA153" s="150">
        <f t="shared" si="84"/>
        <v>1000000000</v>
      </c>
      <c r="AB153" s="150">
        <f t="shared" si="85"/>
        <v>74996466.002499983</v>
      </c>
      <c r="AD153" s="592">
        <f t="shared" si="86"/>
        <v>27.69669113949675</v>
      </c>
      <c r="AE153" s="593">
        <f t="shared" si="87"/>
        <v>-11.196087742276855</v>
      </c>
      <c r="AG153" s="592">
        <f t="shared" si="88"/>
        <v>8.4988765584139436</v>
      </c>
      <c r="AH153" s="593">
        <f t="shared" si="89"/>
        <v>-80.062141669416278</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5">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1.001683442210539</v>
      </c>
      <c r="N154" s="585">
        <f t="shared" si="74"/>
        <v>-5.7984203885311197E-2</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10.682720245356084</v>
      </c>
      <c r="X154" s="590">
        <f t="shared" si="82"/>
        <v>-103.76102591482616</v>
      </c>
      <c r="Y154" s="593">
        <f t="shared" si="83"/>
        <v>76.238974085173837</v>
      </c>
      <c r="AA154" s="150">
        <f t="shared" si="84"/>
        <v>1000000000</v>
      </c>
      <c r="AB154" s="150">
        <f t="shared" si="85"/>
        <v>75857132.160000011</v>
      </c>
      <c r="AD154" s="592">
        <f t="shared" si="86"/>
        <v>27.69546748006168</v>
      </c>
      <c r="AE154" s="593">
        <f t="shared" si="87"/>
        <v>-11.161568147553679</v>
      </c>
      <c r="AG154" s="592">
        <f t="shared" si="88"/>
        <v>8.450554382602073</v>
      </c>
      <c r="AH154" s="593">
        <f t="shared" si="89"/>
        <v>-80.082046550714225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5">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1.0017030914405007</v>
      </c>
      <c r="N155" s="585">
        <f t="shared" si="74"/>
        <v>-5.8321142782098254E-2</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10.631504817641282</v>
      </c>
      <c r="X155" s="590">
        <f t="shared" si="82"/>
        <v>-103.81880104406871</v>
      </c>
      <c r="Y155" s="593">
        <f t="shared" si="83"/>
        <v>76.181198955931293</v>
      </c>
      <c r="AA155" s="150">
        <f t="shared" si="84"/>
        <v>1000000000</v>
      </c>
      <c r="AB155" s="150">
        <f t="shared" si="85"/>
        <v>76743294.105625018</v>
      </c>
      <c r="AD155" s="592">
        <f t="shared" si="86"/>
        <v>27.694233746261183</v>
      </c>
      <c r="AE155" s="593">
        <f t="shared" si="87"/>
        <v>-11.126788171841484</v>
      </c>
      <c r="AG155" s="592">
        <f t="shared" si="88"/>
        <v>8.4013689154042961</v>
      </c>
      <c r="AH155" s="593">
        <f t="shared" si="89"/>
        <v>-80.101985319373696</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5">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1.0017228543871619</v>
      </c>
      <c r="N156" s="585">
        <f t="shared" si="74"/>
        <v>-5.8658068422228753E-2</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10.580586354866728</v>
      </c>
      <c r="X156" s="590">
        <f t="shared" si="82"/>
        <v>-103.87669081095174</v>
      </c>
      <c r="Y156" s="593">
        <f t="shared" si="83"/>
        <v>76.123309189048257</v>
      </c>
      <c r="AA156" s="150">
        <f t="shared" si="84"/>
        <v>1000000000</v>
      </c>
      <c r="AB156" s="150">
        <f t="shared" si="85"/>
        <v>77634602.102499992</v>
      </c>
      <c r="AD156" s="592">
        <f t="shared" si="86"/>
        <v>27.693018736120329</v>
      </c>
      <c r="AE156" s="593">
        <f t="shared" si="87"/>
        <v>-11.092563536633934</v>
      </c>
      <c r="AG156" s="592">
        <f t="shared" si="88"/>
        <v>8.3524662455784444</v>
      </c>
      <c r="AH156" s="593">
        <f t="shared" si="89"/>
        <v>-80.12148832679658</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5">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1.0017427310437925</v>
      </c>
      <c r="N157" s="585">
        <f t="shared" si="74"/>
        <v>-5.8994980729994782E-2</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10.529961345780134</v>
      </c>
      <c r="X157" s="590">
        <f t="shared" si="82"/>
        <v>-103.93469331365255</v>
      </c>
      <c r="Y157" s="593">
        <f t="shared" si="83"/>
        <v>76.065306686347455</v>
      </c>
      <c r="AA157" s="150">
        <f t="shared" si="84"/>
        <v>1000000000</v>
      </c>
      <c r="AB157" s="150">
        <f t="shared" si="85"/>
        <v>78531056.15062499</v>
      </c>
      <c r="AD157" s="592">
        <f t="shared" si="86"/>
        <v>27.691822017449997</v>
      </c>
      <c r="AE157" s="593">
        <f t="shared" si="87"/>
        <v>-11.058884979345324</v>
      </c>
      <c r="AG157" s="592">
        <f t="shared" si="88"/>
        <v>8.3038432928978487</v>
      </c>
      <c r="AH157" s="593">
        <f t="shared" si="89"/>
        <v>-80.140562961442214</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5">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1.0017627214036233</v>
      </c>
      <c r="N158" s="585">
        <f t="shared" si="74"/>
        <v>-5.9331879629706444E-2</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10.47962634098946</v>
      </c>
      <c r="X158" s="590">
        <f t="shared" si="82"/>
        <v>-103.99280668917305</v>
      </c>
      <c r="Y158" s="593">
        <f t="shared" si="83"/>
        <v>76.007193310826949</v>
      </c>
      <c r="AA158" s="150">
        <f t="shared" si="84"/>
        <v>1000000000</v>
      </c>
      <c r="AB158" s="150">
        <f t="shared" si="85"/>
        <v>79432656.25</v>
      </c>
      <c r="AD158" s="592">
        <f t="shared" si="86"/>
        <v>27.690643170059587</v>
      </c>
      <c r="AE158" s="593">
        <f t="shared" si="87"/>
        <v>-11.025743440490219</v>
      </c>
      <c r="AG158" s="592">
        <f t="shared" si="88"/>
        <v>8.2554970269910282</v>
      </c>
      <c r="AH158" s="593">
        <f t="shared" si="89"/>
        <v>-80.159216447479579</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5">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1.0017832924999115</v>
      </c>
      <c r="N159" s="585">
        <f t="shared" si="74"/>
        <v>-5.967656853958906E-2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10.428421994366674</v>
      </c>
      <c r="X159" s="590">
        <f t="shared" si="82"/>
        <v>-104.05237906147535</v>
      </c>
      <c r="Y159" s="593">
        <f t="shared" si="83"/>
        <v>75.947620938524651</v>
      </c>
      <c r="AA159" s="150">
        <f t="shared" si="84"/>
        <v>1000000000</v>
      </c>
      <c r="AB159" s="150">
        <f t="shared" si="85"/>
        <v>80360467.359999999</v>
      </c>
      <c r="AD159" s="592">
        <f t="shared" si="86"/>
        <v>27.689455086648017</v>
      </c>
      <c r="AE159" s="593">
        <f t="shared" si="87"/>
        <v>-10.992380787064137</v>
      </c>
      <c r="AG159" s="592">
        <f t="shared" si="88"/>
        <v>8.2063141276753306</v>
      </c>
      <c r="AH159" s="593">
        <f t="shared" si="89"/>
        <v>-80.177873497481954</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5">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1.0018039826136214</v>
      </c>
      <c r="N160" s="585">
        <f t="shared" si="74"/>
        <v>-6.0021243252800172E-2</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10.377514129402087</v>
      </c>
      <c r="X160" s="590">
        <f t="shared" si="82"/>
        <v>-104.11206367715928</v>
      </c>
      <c r="Y160" s="593">
        <f t="shared" si="83"/>
        <v>75.887936322840716</v>
      </c>
      <c r="AA160" s="150">
        <f t="shared" si="84"/>
        <v>1000000000</v>
      </c>
      <c r="AB160" s="150">
        <f t="shared" si="85"/>
        <v>81293665.689999983</v>
      </c>
      <c r="AD160" s="592">
        <f t="shared" si="86"/>
        <v>27.688284858869451</v>
      </c>
      <c r="AE160" s="593">
        <f t="shared" si="87"/>
        <v>-10.959561759131644</v>
      </c>
      <c r="AG160" s="592">
        <f t="shared" si="88"/>
        <v>8.1574146190551335</v>
      </c>
      <c r="AH160" s="593">
        <f t="shared" si="89"/>
        <v>-80.196104455139391</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5">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1.0018247917373797</v>
      </c>
      <c r="N161" s="585">
        <f t="shared" si="74"/>
        <v>-6.0365903688326748E-2</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10.326899243156554</v>
      </c>
      <c r="X161" s="590">
        <f t="shared" si="82"/>
        <v>-104.17185866071078</v>
      </c>
      <c r="Y161" s="593">
        <f t="shared" si="83"/>
        <v>75.828141339289218</v>
      </c>
      <c r="AA161" s="150">
        <f t="shared" si="84"/>
        <v>1000000000</v>
      </c>
      <c r="AB161" s="150">
        <f t="shared" si="85"/>
        <v>82232251.24000001</v>
      </c>
      <c r="AD161" s="592">
        <f t="shared" si="86"/>
        <v>27.687132073120708</v>
      </c>
      <c r="AE161" s="593">
        <f t="shared" si="87"/>
        <v>-10.927277277848349</v>
      </c>
      <c r="AG161" s="592">
        <f t="shared" si="88"/>
        <v>8.1087954105205426</v>
      </c>
      <c r="AH161" s="593">
        <f t="shared" si="89"/>
        <v>-80.213916553381111</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5">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1.00184571986377</v>
      </c>
      <c r="N162" s="585">
        <f t="shared" si="74"/>
        <v>-6.0710549765176029E-2</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10.276573894337526</v>
      </c>
      <c r="X162" s="590">
        <f t="shared" si="82"/>
        <v>-104.23176217505549</v>
      </c>
      <c r="Y162" s="593">
        <f t="shared" si="83"/>
        <v>75.768237824944507</v>
      </c>
      <c r="AA162" s="150">
        <f t="shared" si="84"/>
        <v>1000000000</v>
      </c>
      <c r="AB162" s="150">
        <f t="shared" si="85"/>
        <v>83176224.010000005</v>
      </c>
      <c r="AD162" s="592">
        <f t="shared" si="86"/>
        <v>27.685996327291058</v>
      </c>
      <c r="AE162" s="593">
        <f t="shared" si="87"/>
        <v>-10.895518463747203</v>
      </c>
      <c r="AG162" s="592">
        <f t="shared" si="88"/>
        <v>8.0604534616090007</v>
      </c>
      <c r="AH162" s="593">
        <f t="shared" si="89"/>
        <v>-80.231316864180243</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5">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1.0018672550313985</v>
      </c>
      <c r="N163" s="585">
        <f t="shared" si="74"/>
        <v>-6.1063149592491588E-2</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10.22538108434988</v>
      </c>
      <c r="X163" s="590">
        <f t="shared" si="82"/>
        <v>-104.29316118900307</v>
      </c>
      <c r="Y163" s="593">
        <f t="shared" si="83"/>
        <v>75.706838810996928</v>
      </c>
      <c r="AA163" s="150">
        <f t="shared" si="84"/>
        <v>1000000000</v>
      </c>
      <c r="AB163" s="150">
        <f t="shared" si="85"/>
        <v>84147598.24000001</v>
      </c>
      <c r="AD163" s="592">
        <f t="shared" si="86"/>
        <v>27.684851549179221</v>
      </c>
      <c r="AE163" s="593">
        <f t="shared" si="87"/>
        <v>-10.863560323547439</v>
      </c>
      <c r="AG163" s="592">
        <f t="shared" si="88"/>
        <v>8.0112776099547389</v>
      </c>
      <c r="AH163" s="593">
        <f t="shared" si="89"/>
        <v>-80.248700526532531</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5">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1.001888914752451</v>
      </c>
      <c r="N164" s="585">
        <f t="shared" si="74"/>
        <v>-6.1415734218011116E-2</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10.174484259190971</v>
      </c>
      <c r="X164" s="590">
        <f t="shared" si="82"/>
        <v>-104.35467003913222</v>
      </c>
      <c r="Y164" s="593">
        <f t="shared" si="83"/>
        <v>75.645329960867784</v>
      </c>
      <c r="AA164" s="150">
        <f t="shared" si="84"/>
        <v>1000000000</v>
      </c>
      <c r="AB164" s="150">
        <f t="shared" si="85"/>
        <v>85124611.689999983</v>
      </c>
      <c r="AD164" s="592">
        <f t="shared" si="86"/>
        <v>27.683723791713003</v>
      </c>
      <c r="AE164" s="593">
        <f t="shared" si="87"/>
        <v>-10.83213425127056</v>
      </c>
      <c r="AG164" s="592">
        <f t="shared" si="88"/>
        <v>7.9623857046237267</v>
      </c>
      <c r="AH164" s="593">
        <f t="shared" si="89"/>
        <v>-80.26566761888779</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5">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1.0019106990188495</v>
      </c>
      <c r="N165" s="585">
        <f t="shared" si="74"/>
        <v>-6.1768303555059648E-2</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10.123879924379269</v>
      </c>
      <c r="X165" s="590">
        <f t="shared" si="82"/>
        <v>-104.4162868766926</v>
      </c>
      <c r="Y165" s="593">
        <f t="shared" si="83"/>
        <v>75.583713123307405</v>
      </c>
      <c r="AA165" s="150">
        <f t="shared" si="84"/>
        <v>1000000000</v>
      </c>
      <c r="AB165" s="150">
        <f t="shared" si="85"/>
        <v>86107264.359999999</v>
      </c>
      <c r="AD165" s="592">
        <f t="shared" si="86"/>
        <v>27.682612659163194</v>
      </c>
      <c r="AE165" s="593">
        <f t="shared" si="87"/>
        <v>-10.801231350475557</v>
      </c>
      <c r="AG165" s="592">
        <f t="shared" si="88"/>
        <v>7.913774645469319</v>
      </c>
      <c r="AH165" s="593">
        <f t="shared" si="89"/>
        <v>-80.282225220561088</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5">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1.0019326078224708</v>
      </c>
      <c r="N166" s="585">
        <f t="shared" si="74"/>
        <v>-6.212085751698488E-2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10.073564646863387</v>
      </c>
      <c r="X166" s="590">
        <f t="shared" si="82"/>
        <v>-104.47800989095997</v>
      </c>
      <c r="Y166" s="593">
        <f t="shared" si="83"/>
        <v>75.521990109040033</v>
      </c>
      <c r="AA166" s="150">
        <f t="shared" si="84"/>
        <v>1000000000</v>
      </c>
      <c r="AB166" s="150">
        <f t="shared" si="85"/>
        <v>87095556.25</v>
      </c>
      <c r="AD166" s="592">
        <f t="shared" si="86"/>
        <v>27.681517766805015</v>
      </c>
      <c r="AE166" s="593">
        <f t="shared" si="87"/>
        <v>-10.770842920370754</v>
      </c>
      <c r="AG166" s="592">
        <f t="shared" si="88"/>
        <v>7.8654413827630165</v>
      </c>
      <c r="AH166" s="593">
        <f t="shared" si="89"/>
        <v>-80.298380253223797</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5">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1.0019551613307593</v>
      </c>
      <c r="N167" s="585">
        <f t="shared" si="74"/>
        <v>-6.2481694759092668E-2</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10.022360747145544</v>
      </c>
      <c r="X167" s="590">
        <f t="shared" si="82"/>
        <v>-104.54129399954054</v>
      </c>
      <c r="Y167" s="593">
        <f t="shared" si="83"/>
        <v>75.458706000459458</v>
      </c>
      <c r="AA167" s="150">
        <f t="shared" si="84"/>
        <v>1000000000</v>
      </c>
      <c r="AB167" s="150">
        <f t="shared" si="85"/>
        <v>88112952.922499999</v>
      </c>
      <c r="AD167" s="592">
        <f t="shared" si="86"/>
        <v>27.680413527915817</v>
      </c>
      <c r="AE167" s="593">
        <f t="shared" si="87"/>
        <v>-10.740263029981616</v>
      </c>
      <c r="AG167" s="592">
        <f t="shared" si="88"/>
        <v>7.8162548827595222</v>
      </c>
      <c r="AH167" s="593">
        <f t="shared" si="89"/>
        <v>-80.314505751035512</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5">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1.0019778452912491</v>
      </c>
      <c r="N168" s="585">
        <f t="shared" si="74"/>
        <v>-6.2842515710057611E-2</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9.971452587156497</v>
      </c>
      <c r="X168" s="590">
        <f t="shared" si="82"/>
        <v>-104.60468562187293</v>
      </c>
      <c r="Y168" s="593">
        <f t="shared" si="83"/>
        <v>75.395314378127068</v>
      </c>
      <c r="AA168" s="150">
        <f t="shared" si="84"/>
        <v>1000000000</v>
      </c>
      <c r="AB168" s="150">
        <f t="shared" si="85"/>
        <v>89136257.440000013</v>
      </c>
      <c r="AD168" s="592">
        <f t="shared" si="86"/>
        <v>27.679325520991537</v>
      </c>
      <c r="AE168" s="593">
        <f t="shared" si="87"/>
        <v>-10.710204277203562</v>
      </c>
      <c r="AG168" s="592">
        <f t="shared" si="88"/>
        <v>7.7673531040594188</v>
      </c>
      <c r="AH168" s="593">
        <f t="shared" si="89"/>
        <v>-80.330223689604594</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5">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1.0020006596950806</v>
      </c>
      <c r="N169" s="585">
        <f t="shared" si="74"/>
        <v>-6.3203320277037553E-2</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9.9208366763315894</v>
      </c>
      <c r="X169" s="590">
        <f t="shared" si="82"/>
        <v>-104.66818293389888</v>
      </c>
      <c r="Y169" s="593">
        <f t="shared" si="83"/>
        <v>75.331817066101124</v>
      </c>
      <c r="AA169" s="150">
        <f t="shared" si="84"/>
        <v>1000000000</v>
      </c>
      <c r="AB169" s="150">
        <f t="shared" si="85"/>
        <v>90165469.80249998</v>
      </c>
      <c r="AD169" s="592">
        <f t="shared" si="86"/>
        <v>27.678253366979035</v>
      </c>
      <c r="AE169" s="593">
        <f t="shared" si="87"/>
        <v>-10.680657934829782</v>
      </c>
      <c r="AG169" s="592">
        <f t="shared" si="88"/>
        <v>7.7187329336232366</v>
      </c>
      <c r="AH169" s="593">
        <f t="shared" si="89"/>
        <v>-80.345541005901808</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5">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1.0020236045333437</v>
      </c>
      <c r="N170" s="585">
        <f t="shared" si="74"/>
        <v>-6.356410836721578E-2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9.8705095854261913</v>
      </c>
      <c r="X170" s="590">
        <f t="shared" si="82"/>
        <v>-104.73178414921223</v>
      </c>
      <c r="Y170" s="593">
        <f t="shared" si="83"/>
        <v>75.268215850787769</v>
      </c>
      <c r="AA170" s="150">
        <f t="shared" si="84"/>
        <v>1000000000</v>
      </c>
      <c r="AB170" s="150">
        <f t="shared" si="85"/>
        <v>91200590.00999999</v>
      </c>
      <c r="AD170" s="592">
        <f t="shared" si="86"/>
        <v>27.677196697378026</v>
      </c>
      <c r="AE170" s="593">
        <f t="shared" si="87"/>
        <v>-10.651615467917171</v>
      </c>
      <c r="AG170" s="592">
        <f t="shared" si="88"/>
        <v>7.6703913091704399</v>
      </c>
      <c r="AH170" s="593">
        <f t="shared" si="89"/>
        <v>-80.360464482268483</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5">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1.0020472226867574</v>
      </c>
      <c r="N171" s="585">
        <f t="shared" si="74"/>
        <v>-6.3933343049475636E-2</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9.8192974149826977</v>
      </c>
      <c r="X171" s="590">
        <f t="shared" si="82"/>
        <v>-104.79698315173876</v>
      </c>
      <c r="Y171" s="593">
        <f t="shared" si="83"/>
        <v>75.203016848261242</v>
      </c>
      <c r="AA171" s="150">
        <f t="shared" si="84"/>
        <v>1000000000</v>
      </c>
      <c r="AB171" s="150">
        <f t="shared" si="85"/>
        <v>92266110.52562499</v>
      </c>
      <c r="AD171" s="592">
        <f t="shared" si="86"/>
        <v>27.676130899002796</v>
      </c>
      <c r="AE171" s="593">
        <f t="shared" si="87"/>
        <v>-10.622404726328242</v>
      </c>
      <c r="AG171" s="592">
        <f t="shared" si="88"/>
        <v>7.6212009163031329</v>
      </c>
      <c r="AH171" s="593">
        <f t="shared" si="89"/>
        <v>-80.375337162389471</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5">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1.002070977447078</v>
      </c>
      <c r="N172" s="585">
        <f t="shared" si="74"/>
        <v>-6.4302560276162046E-2</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9.768380696580115</v>
      </c>
      <c r="X172" s="590">
        <f t="shared" si="82"/>
        <v>-104.86228732009006</v>
      </c>
      <c r="Y172" s="593">
        <f t="shared" si="83"/>
        <v>75.137712679909939</v>
      </c>
      <c r="AA172" s="150">
        <f t="shared" si="84"/>
        <v>1000000000</v>
      </c>
      <c r="AB172" s="150">
        <f t="shared" si="85"/>
        <v>93337819.32249999</v>
      </c>
      <c r="AD172" s="592">
        <f t="shared" si="86"/>
        <v>27.675080571385415</v>
      </c>
      <c r="AE172" s="593">
        <f t="shared" si="87"/>
        <v>-10.593704282969103</v>
      </c>
      <c r="AG172" s="592">
        <f t="shared" si="88"/>
        <v>7.572295959245066</v>
      </c>
      <c r="AH172" s="593">
        <f t="shared" si="89"/>
        <v>-80.38981120500894</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5">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1.0020948688045901</v>
      </c>
      <c r="N173" s="585">
        <f t="shared" si="74"/>
        <v>-6.4671759947855567E-2</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9.7177559442250274</v>
      </c>
      <c r="X173" s="590">
        <f t="shared" si="82"/>
        <v>-104.92769485552404</v>
      </c>
      <c r="Y173" s="593">
        <f t="shared" si="83"/>
        <v>75.072305144475962</v>
      </c>
      <c r="AA173" s="150">
        <f t="shared" si="84"/>
        <v>1000000000</v>
      </c>
      <c r="AB173" s="150">
        <f t="shared" si="85"/>
        <v>94415716.40062499</v>
      </c>
      <c r="AD173" s="592">
        <f t="shared" si="86"/>
        <v>27.67404535157867</v>
      </c>
      <c r="AE173" s="593">
        <f t="shared" si="87"/>
        <v>-10.565505579995357</v>
      </c>
      <c r="AG173" s="592">
        <f t="shared" si="88"/>
        <v>7.5236733132762765</v>
      </c>
      <c r="AH173" s="593">
        <f t="shared" si="89"/>
        <v>-80.40389340539285</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5">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1.002118896749524</v>
      </c>
      <c r="N174" s="585">
        <f t="shared" si="74"/>
        <v>-6.5040941965165369E-2</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9.6674197331189546</v>
      </c>
      <c r="X174" s="590">
        <f t="shared" si="82"/>
        <v>-104.99320399654862</v>
      </c>
      <c r="Y174" s="593">
        <f t="shared" si="83"/>
        <v>75.006796003451385</v>
      </c>
      <c r="AA174" s="150">
        <f t="shared" si="84"/>
        <v>1000000000</v>
      </c>
      <c r="AB174" s="150">
        <f t="shared" si="85"/>
        <v>95499801.75999999</v>
      </c>
      <c r="AD174" s="592">
        <f t="shared" si="86"/>
        <v>27.673024886750209</v>
      </c>
      <c r="AE174" s="593">
        <f t="shared" si="87"/>
        <v>-10.537800248396527</v>
      </c>
      <c r="AG174" s="592">
        <f t="shared" si="88"/>
        <v>7.4753299047478725</v>
      </c>
      <c r="AH174" s="593">
        <f t="shared" si="89"/>
        <v>-80.417590407201118</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5">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1.0021436167565645</v>
      </c>
      <c r="N175" s="585">
        <f t="shared" si="74"/>
        <v>-6.5418567762480839E-2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9.6162247780009409</v>
      </c>
      <c r="X175" s="590">
        <f t="shared" si="82"/>
        <v>-105.06031802271322</v>
      </c>
      <c r="Y175" s="593">
        <f t="shared" si="83"/>
        <v>74.939681977286781</v>
      </c>
      <c r="AA175" s="150">
        <f t="shared" si="84"/>
        <v>1000000000</v>
      </c>
      <c r="AB175" s="150">
        <f t="shared" si="85"/>
        <v>96615138.48999998</v>
      </c>
      <c r="AD175" s="592">
        <f t="shared" si="86"/>
        <v>27.671995940059517</v>
      </c>
      <c r="AE175" s="593">
        <f t="shared" si="87"/>
        <v>-10.50996180479231</v>
      </c>
      <c r="AG175" s="592">
        <f t="shared" si="88"/>
        <v>7.4261641596218304</v>
      </c>
      <c r="AH175" s="593">
        <f t="shared" si="89"/>
        <v>-80.431209590888699</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5">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1.002168479663468</v>
      </c>
      <c r="N176" s="585">
        <f t="shared" si="74"/>
        <v>-6.5796174876522298E-2</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9.5653246838277308</v>
      </c>
      <c r="X176" s="590">
        <f t="shared" si="82"/>
        <v>-105.12753475240437</v>
      </c>
      <c r="Y176" s="593">
        <f t="shared" si="83"/>
        <v>74.872465247595628</v>
      </c>
      <c r="AA176" s="150">
        <f t="shared" si="84"/>
        <v>1000000000</v>
      </c>
      <c r="AB176" s="150">
        <f t="shared" si="85"/>
        <v>97736950.440000013</v>
      </c>
      <c r="AD176" s="592">
        <f t="shared" si="86"/>
        <v>27.670981716633172</v>
      </c>
      <c r="AE176" s="593">
        <f t="shared" si="87"/>
        <v>-10.482622477335614</v>
      </c>
      <c r="AG176" s="592">
        <f t="shared" si="88"/>
        <v>7.3772842525151772</v>
      </c>
      <c r="AH176" s="593">
        <f t="shared" si="89"/>
        <v>-80.444439310092505</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5">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1.0021934854595997</v>
      </c>
      <c r="N177" s="585">
        <f t="shared" si="74"/>
        <v>-6.6173763201000477E-2</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9.5147159744275296</v>
      </c>
      <c r="X177" s="590">
        <f t="shared" si="82"/>
        <v>-105.19485241507284</v>
      </c>
      <c r="Y177" s="593">
        <f t="shared" si="83"/>
        <v>74.805147584927155</v>
      </c>
      <c r="AA177" s="150">
        <f t="shared" si="84"/>
        <v>1000000000</v>
      </c>
      <c r="AB177" s="150">
        <f t="shared" si="85"/>
        <v>98865237.610000014</v>
      </c>
      <c r="AD177" s="592">
        <f t="shared" si="86"/>
        <v>27.669981869525728</v>
      </c>
      <c r="AE177" s="593">
        <f t="shared" si="87"/>
        <v>-10.455773888516783</v>
      </c>
      <c r="AG177" s="592">
        <f t="shared" si="88"/>
        <v>7.3286870523708938</v>
      </c>
      <c r="AH177" s="593">
        <f t="shared" si="89"/>
        <v>-80.45728621037496</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5">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1.0022186341342638</v>
      </c>
      <c r="N178" s="585">
        <f t="shared" si="74"/>
        <v>-6.6551332629658053E-2</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9.4643952345762585</v>
      </c>
      <c r="X178" s="590">
        <f t="shared" si="82"/>
        <v>-105.26226927692419</v>
      </c>
      <c r="Y178" s="593">
        <f t="shared" si="83"/>
        <v>74.737730723075813</v>
      </c>
      <c r="AA178" s="150">
        <f t="shared" si="84"/>
        <v>1000000000</v>
      </c>
      <c r="AB178" s="150">
        <f t="shared" si="85"/>
        <v>100000000</v>
      </c>
      <c r="AD178" s="592">
        <f t="shared" si="86"/>
        <v>27.668996061465304</v>
      </c>
      <c r="AE178" s="593">
        <f t="shared" si="87"/>
        <v>-10.429407845867878</v>
      </c>
      <c r="AG178" s="592">
        <f t="shared" si="88"/>
        <v>7.2803694793965112</v>
      </c>
      <c r="AH178" s="593">
        <f t="shared" si="89"/>
        <v>-80.469756788983887</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5">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1.0022445274746141</v>
      </c>
      <c r="N179" s="585">
        <f t="shared" si="74"/>
        <v>-6.6937840523681624E-2</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9.4131753890458842</v>
      </c>
      <c r="X179" s="590">
        <f t="shared" si="82"/>
        <v>-105.33138664499556</v>
      </c>
      <c r="Y179" s="593">
        <f t="shared" si="83"/>
        <v>74.668613355004439</v>
      </c>
      <c r="AA179" s="150">
        <f t="shared" si="84"/>
        <v>1000000000</v>
      </c>
      <c r="AB179" s="150">
        <f t="shared" si="85"/>
        <v>101168393.0625</v>
      </c>
      <c r="AD179" s="592">
        <f t="shared" si="86"/>
        <v>27.668001064604553</v>
      </c>
      <c r="AE179" s="593">
        <f t="shared" si="87"/>
        <v>-10.402907737611438</v>
      </c>
      <c r="AG179" s="592">
        <f t="shared" si="88"/>
        <v>7.2311920263072214</v>
      </c>
      <c r="AH179" s="593">
        <f t="shared" si="89"/>
        <v>-80.482140054169022</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5">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1.0022705705308734</v>
      </c>
      <c r="N180" s="585">
        <f t="shared" si="74"/>
        <v>-6.7324328389352719E-2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9.362250286076355</v>
      </c>
      <c r="X180" s="590">
        <f t="shared" si="82"/>
        <v>-105.40060441202931</v>
      </c>
      <c r="Y180" s="593">
        <f t="shared" si="83"/>
        <v>74.59939558797069</v>
      </c>
      <c r="AA180" s="150">
        <f t="shared" si="84"/>
        <v>1000000000</v>
      </c>
      <c r="AB180" s="150">
        <f t="shared" si="85"/>
        <v>102343572.25</v>
      </c>
      <c r="AD180" s="592">
        <f t="shared" si="86"/>
        <v>27.667020095240446</v>
      </c>
      <c r="AE180" s="593">
        <f t="shared" si="87"/>
        <v>-10.376896541925834</v>
      </c>
      <c r="AG180" s="592">
        <f t="shared" si="88"/>
        <v>7.1823012545382667</v>
      </c>
      <c r="AH180" s="593">
        <f t="shared" si="89"/>
        <v>-80.494142250100651</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5">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1.0022967632913717</v>
      </c>
      <c r="N181" s="585">
        <f t="shared" si="74"/>
        <v>-6.7710796112775445E-2</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9.3116164508766168</v>
      </c>
      <c r="X181" s="590">
        <f t="shared" si="82"/>
        <v>-105.46992083148989</v>
      </c>
      <c r="Y181" s="593">
        <f t="shared" si="83"/>
        <v>74.530079168510113</v>
      </c>
      <c r="AA181" s="150">
        <f t="shared" si="84"/>
        <v>1000000000</v>
      </c>
      <c r="AB181" s="150">
        <f t="shared" si="85"/>
        <v>103525537.5625</v>
      </c>
      <c r="AD181" s="592">
        <f t="shared" si="86"/>
        <v>27.666052820969774</v>
      </c>
      <c r="AE181" s="593">
        <f t="shared" si="87"/>
        <v>-10.351366039422345</v>
      </c>
      <c r="AG181" s="592">
        <f t="shared" si="88"/>
        <v>7.133694019695028</v>
      </c>
      <c r="AH181" s="593">
        <f t="shared" si="89"/>
        <v>-80.505769890929002</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5">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1.0023231057443727</v>
      </c>
      <c r="N182" s="585">
        <f t="shared" si="74"/>
        <v>-6.8097243580089881E-2</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9.2612704695535477</v>
      </c>
      <c r="X182" s="590">
        <f t="shared" si="82"/>
        <v>-105.53933419320244</v>
      </c>
      <c r="Y182" s="593">
        <f t="shared" si="83"/>
        <v>74.460665806797564</v>
      </c>
      <c r="AA182" s="150">
        <f t="shared" si="84"/>
        <v>1000000000</v>
      </c>
      <c r="AB182" s="150">
        <f t="shared" si="85"/>
        <v>104714289</v>
      </c>
      <c r="AD182" s="592">
        <f t="shared" si="86"/>
        <v>27.665098918668782</v>
      </c>
      <c r="AE182" s="593">
        <f t="shared" si="87"/>
        <v>-10.326308192574253</v>
      </c>
      <c r="AG182" s="592">
        <f t="shared" si="88"/>
        <v>7.0853672289908385</v>
      </c>
      <c r="AH182" s="593">
        <f t="shared" si="89"/>
        <v>-80.517029345269748</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5">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1.0023501680191897</v>
      </c>
      <c r="N183" s="585">
        <f t="shared" si="74"/>
        <v>-6.8491962880362647E-2</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9.2101378005950014</v>
      </c>
      <c r="X183" s="590">
        <f t="shared" si="82"/>
        <v>-105.61033545584075</v>
      </c>
      <c r="Y183" s="593">
        <f t="shared" si="83"/>
        <v>74.389664544159245</v>
      </c>
      <c r="AA183" s="150">
        <f t="shared" si="84"/>
        <v>1000000000</v>
      </c>
      <c r="AB183" s="150">
        <f t="shared" si="85"/>
        <v>105935556.25</v>
      </c>
      <c r="AD183" s="592">
        <f t="shared" si="86"/>
        <v>27.664138025229764</v>
      </c>
      <c r="AE183" s="593">
        <f t="shared" si="87"/>
        <v>-10.301192429852707</v>
      </c>
      <c r="AG183" s="592">
        <f t="shared" si="88"/>
        <v>7.0362897554667114</v>
      </c>
      <c r="AH183" s="593">
        <f t="shared" si="89"/>
        <v>-80.528156770255237</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5">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1.00237738645505</v>
      </c>
      <c r="N184" s="585">
        <f t="shared" si="74"/>
        <v>-6.8886660805806396E-2</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9.1592984601479692</v>
      </c>
      <c r="X184" s="590">
        <f t="shared" si="82"/>
        <v>-105.68143437097177</v>
      </c>
      <c r="Y184" s="593">
        <f t="shared" si="83"/>
        <v>74.318565629028228</v>
      </c>
      <c r="AA184" s="150">
        <f t="shared" si="84"/>
        <v>1000000000</v>
      </c>
      <c r="AB184" s="150">
        <f t="shared" si="85"/>
        <v>107163904</v>
      </c>
      <c r="AD184" s="592">
        <f t="shared" si="86"/>
        <v>27.66319043060237</v>
      </c>
      <c r="AE184" s="593">
        <f t="shared" si="87"/>
        <v>-10.276553432795181</v>
      </c>
      <c r="AG184" s="592">
        <f t="shared" si="88"/>
        <v>6.9874985282204038</v>
      </c>
      <c r="AH184" s="593">
        <f t="shared" si="89"/>
        <v>-80.538913022430052</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5">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1.0024047610392328</v>
      </c>
      <c r="N185" s="585">
        <f t="shared" si="74"/>
        <v>-6.9281337235190144E-2</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9.1087489975172513</v>
      </c>
      <c r="X185" s="590">
        <f t="shared" si="82"/>
        <v>-105.75262922744446</v>
      </c>
      <c r="Y185" s="593">
        <f t="shared" si="83"/>
        <v>74.247370772555541</v>
      </c>
      <c r="AA185" s="150">
        <f t="shared" si="84"/>
        <v>1000000000</v>
      </c>
      <c r="AB185" s="150">
        <f t="shared" si="85"/>
        <v>108399332.25</v>
      </c>
      <c r="AD185" s="592">
        <f t="shared" si="86"/>
        <v>27.66225581844099</v>
      </c>
      <c r="AE185" s="593">
        <f t="shared" si="87"/>
        <v>-10.252383191228965</v>
      </c>
      <c r="AG185" s="592">
        <f t="shared" si="88"/>
        <v>6.9389904107176124</v>
      </c>
      <c r="AH185" s="593">
        <f t="shared" si="89"/>
        <v>-80.549304444693476</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5">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1.0024322917589457</v>
      </c>
      <c r="N186" s="585">
        <f t="shared" si="74"/>
        <v>-6.9675992047322943E-2</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9.058486022328049</v>
      </c>
      <c r="X186" s="590">
        <f t="shared" si="82"/>
        <v>-105.82391834974268</v>
      </c>
      <c r="Y186" s="593">
        <f t="shared" si="83"/>
        <v>74.176081650257316</v>
      </c>
      <c r="AA186" s="150">
        <f t="shared" si="84"/>
        <v>1000000000</v>
      </c>
      <c r="AB186" s="150">
        <f t="shared" si="85"/>
        <v>109641841</v>
      </c>
      <c r="AD186" s="592">
        <f t="shared" si="86"/>
        <v>27.661333881222575</v>
      </c>
      <c r="AE186" s="593">
        <f t="shared" si="87"/>
        <v>-10.228673872122551</v>
      </c>
      <c r="AG186" s="592">
        <f t="shared" si="88"/>
        <v>6.8907623179098874</v>
      </c>
      <c r="AH186" s="593">
        <f t="shared" si="89"/>
        <v>-80.559337238404964</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5">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1.0024606786063797</v>
      </c>
      <c r="N187" s="585">
        <f t="shared" si="74"/>
        <v>-7.008057357202721E-2</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9.0072498381730313</v>
      </c>
      <c r="X187" s="590">
        <f t="shared" si="82"/>
        <v>-105.89710081979753</v>
      </c>
      <c r="Y187" s="593">
        <f t="shared" si="83"/>
        <v>74.102899180202471</v>
      </c>
      <c r="AA187" s="150">
        <f t="shared" si="84"/>
        <v>1000000000</v>
      </c>
      <c r="AB187" s="150">
        <f t="shared" si="85"/>
        <v>110923024</v>
      </c>
      <c r="AD187" s="592">
        <f t="shared" si="86"/>
        <v>27.660401547216395</v>
      </c>
      <c r="AE187" s="593">
        <f t="shared" si="87"/>
        <v>-10.204837319278994</v>
      </c>
      <c r="AG187" s="592">
        <f t="shared" si="88"/>
        <v>6.8416059171389767</v>
      </c>
      <c r="AH187" s="593">
        <f t="shared" si="89"/>
        <v>-80.569257002570453</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5">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1.0024892295334942</v>
      </c>
      <c r="N188" s="585">
        <f t="shared" si="74"/>
        <v>-7.0485132117958038E-2</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8.9563077399558573</v>
      </c>
      <c r="X188" s="590">
        <f t="shared" si="82"/>
        <v>-105.97037891289726</v>
      </c>
      <c r="Y188" s="593">
        <f t="shared" si="83"/>
        <v>74.02962108710274</v>
      </c>
      <c r="AA188" s="150">
        <f t="shared" si="84"/>
        <v>1000000000</v>
      </c>
      <c r="AB188" s="150">
        <f t="shared" si="85"/>
        <v>112211649</v>
      </c>
      <c r="AD188" s="592">
        <f t="shared" si="86"/>
        <v>27.659481907874973</v>
      </c>
      <c r="AE188" s="593">
        <f t="shared" si="87"/>
        <v>-10.181469098485682</v>
      </c>
      <c r="AG188" s="592">
        <f t="shared" si="88"/>
        <v>6.7927374322925775</v>
      </c>
      <c r="AH188" s="593">
        <f t="shared" si="89"/>
        <v>-80.578812588907923</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5">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1.0025179445262711</v>
      </c>
      <c r="N189" s="585">
        <f t="shared" si="74"/>
        <v>-7.0889667554658073E-2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8.9056562627282769</v>
      </c>
      <c r="X189" s="590">
        <f t="shared" si="82"/>
        <v>-106.04375093425352</v>
      </c>
      <c r="Y189" s="593">
        <f t="shared" si="83"/>
        <v>73.956249065746476</v>
      </c>
      <c r="AA189" s="150">
        <f t="shared" si="84"/>
        <v>1000000000</v>
      </c>
      <c r="AB189" s="150">
        <f t="shared" si="85"/>
        <v>113507716</v>
      </c>
      <c r="AD189" s="592">
        <f t="shared" si="86"/>
        <v>27.658574658819091</v>
      </c>
      <c r="AE189" s="593">
        <f t="shared" si="87"/>
        <v>-10.158561317743132</v>
      </c>
      <c r="AG189" s="592">
        <f t="shared" si="88"/>
        <v>6.7441537003965291</v>
      </c>
      <c r="AH189" s="593">
        <f t="shared" si="89"/>
        <v>-80.588010241758937</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5">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1.0025468235706128</v>
      </c>
      <c r="N190" s="585">
        <f t="shared" si="74"/>
        <v>-7.1294179751715162E-2</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8.8552920021770003</v>
      </c>
      <c r="X190" s="590">
        <f t="shared" si="82"/>
        <v>-106.1172152245022</v>
      </c>
      <c r="Y190" s="593">
        <f t="shared" si="83"/>
        <v>73.882784775497797</v>
      </c>
      <c r="AA190" s="150">
        <f t="shared" si="84"/>
        <v>1000000000</v>
      </c>
      <c r="AB190" s="150">
        <f t="shared" si="85"/>
        <v>114811225</v>
      </c>
      <c r="AD190" s="592">
        <f t="shared" si="86"/>
        <v>27.657679504180528</v>
      </c>
      <c r="AE190" s="593">
        <f t="shared" si="87"/>
        <v>-10.136106260111969</v>
      </c>
      <c r="AG190" s="592">
        <f t="shared" si="88"/>
        <v>6.6958516105879609</v>
      </c>
      <c r="AH190" s="593">
        <f t="shared" si="89"/>
        <v>-80.596856065791115</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5">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1.0025765828928106</v>
      </c>
      <c r="N191" s="585">
        <f t="shared" si="74"/>
        <v>-7.1708614729819389E-2</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8.8039836762237229</v>
      </c>
      <c r="X191" s="590">
        <f t="shared" si="82"/>
        <v>-106.19258001495736</v>
      </c>
      <c r="Y191" s="593">
        <f t="shared" si="83"/>
        <v>73.807419985042642</v>
      </c>
      <c r="AA191" s="150">
        <f t="shared" si="84"/>
        <v>1000000000</v>
      </c>
      <c r="AB191" s="150">
        <f t="shared" si="85"/>
        <v>116154506.25</v>
      </c>
      <c r="AD191" s="592">
        <f t="shared" si="86"/>
        <v>27.656774580991183</v>
      </c>
      <c r="AE191" s="593">
        <f t="shared" si="87"/>
        <v>-10.113560697308673</v>
      </c>
      <c r="AG191" s="592">
        <f t="shared" si="88"/>
        <v>6.6466506807885413</v>
      </c>
      <c r="AH191" s="593">
        <f t="shared" si="89"/>
        <v>-80.605560738336123</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5">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1.002606514403664</v>
      </c>
      <c r="N192" s="585">
        <f t="shared" si="74"/>
        <v>-7.2123025034265376E-2</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8.7529698196584818</v>
      </c>
      <c r="X192" s="590">
        <f t="shared" si="82"/>
        <v>-106.26803825118026</v>
      </c>
      <c r="Y192" s="593">
        <f t="shared" si="83"/>
        <v>73.731961748819742</v>
      </c>
      <c r="AA192" s="150">
        <f t="shared" si="84"/>
        <v>1000000000</v>
      </c>
      <c r="AB192" s="150">
        <f t="shared" si="85"/>
        <v>117505600</v>
      </c>
      <c r="AD192" s="592">
        <f t="shared" si="86"/>
        <v>27.655881751686668</v>
      </c>
      <c r="AE192" s="593">
        <f t="shared" si="87"/>
        <v>-10.09147453781631</v>
      </c>
      <c r="AG192" s="592">
        <f t="shared" si="88"/>
        <v>6.5977389657302776</v>
      </c>
      <c r="AH192" s="593">
        <f t="shared" si="89"/>
        <v>-80.613908608118066</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5">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1.0026366180877524</v>
      </c>
      <c r="N193" s="585">
        <f t="shared" si="74"/>
        <v>-7.253741052493097E-2</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8.7022469597394903</v>
      </c>
      <c r="X193" s="590">
        <f t="shared" si="82"/>
        <v>-106.34358825810708</v>
      </c>
      <c r="Y193" s="593">
        <f t="shared" si="83"/>
        <v>73.656411741892924</v>
      </c>
      <c r="AA193" s="150">
        <f t="shared" si="84"/>
        <v>1000000000</v>
      </c>
      <c r="AB193" s="150">
        <f t="shared" si="85"/>
        <v>118864506.25</v>
      </c>
      <c r="AD193" s="592">
        <f t="shared" si="86"/>
        <v>27.655000724011774</v>
      </c>
      <c r="AE193" s="593">
        <f t="shared" si="87"/>
        <v>-10.069840022121074</v>
      </c>
      <c r="AG193" s="592">
        <f t="shared" si="88"/>
        <v>6.5491132822837699</v>
      </c>
      <c r="AH193" s="593">
        <f t="shared" si="89"/>
        <v>-80.621905810110462</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5">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1.0026668939295682</v>
      </c>
      <c r="N194" s="585">
        <f t="shared" si="74"/>
        <v>-7.2951771061744955E-2</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8.6518116845249402</v>
      </c>
      <c r="X194" s="590">
        <f t="shared" si="82"/>
        <v>-106.41922839578164</v>
      </c>
      <c r="Y194" s="593">
        <f t="shared" si="83"/>
        <v>73.580771604218356</v>
      </c>
      <c r="AA194" s="150">
        <f t="shared" si="84"/>
        <v>1000000000</v>
      </c>
      <c r="AB194" s="150">
        <f t="shared" si="85"/>
        <v>120231225</v>
      </c>
      <c r="AD194" s="592">
        <f t="shared" si="86"/>
        <v>27.654131213899259</v>
      </c>
      <c r="AE194" s="593">
        <f t="shared" si="87"/>
        <v>-10.048649563236371</v>
      </c>
      <c r="AG194" s="592">
        <f t="shared" si="88"/>
        <v>6.5007704999180227</v>
      </c>
      <c r="AH194" s="593">
        <f t="shared" si="89"/>
        <v>-80.629558341824918</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5">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1.0026979526289377</v>
      </c>
      <c r="N195" s="585">
        <f t="shared" si="74"/>
        <v>-7.3374392956627163E-2</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8.600660497041881</v>
      </c>
      <c r="X195" s="590">
        <f t="shared" si="82"/>
        <v>-106.49647252378855</v>
      </c>
      <c r="Y195" s="593">
        <f t="shared" si="83"/>
        <v>73.503527476211445</v>
      </c>
      <c r="AA195" s="150">
        <f t="shared" si="84"/>
        <v>1000000000</v>
      </c>
      <c r="AB195" s="150">
        <f t="shared" si="85"/>
        <v>121633326.5625</v>
      </c>
      <c r="AD195" s="592">
        <f t="shared" si="86"/>
        <v>27.653255892628511</v>
      </c>
      <c r="AE195" s="593">
        <f t="shared" si="87"/>
        <v>-10.027485069129687</v>
      </c>
      <c r="AG195" s="592">
        <f t="shared" si="88"/>
        <v>6.4517491136504734</v>
      </c>
      <c r="AH195" s="593">
        <f t="shared" si="89"/>
        <v>-80.637014925414206</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5">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1.0027291904083393</v>
      </c>
      <c r="N196" s="585">
        <f t="shared" si="74"/>
        <v>-7.3796988595310087E-2</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8.5498015292925089</v>
      </c>
      <c r="X196" s="590">
        <f t="shared" si="82"/>
        <v>-106.5738070849262</v>
      </c>
      <c r="Y196" s="593">
        <f t="shared" si="83"/>
        <v>73.426192915073798</v>
      </c>
      <c r="AA196" s="150">
        <f t="shared" si="84"/>
        <v>1000000000</v>
      </c>
      <c r="AB196" s="150">
        <f t="shared" si="85"/>
        <v>123043556.25</v>
      </c>
      <c r="AD196" s="592">
        <f t="shared" si="86"/>
        <v>27.65239198209207</v>
      </c>
      <c r="AE196" s="593">
        <f t="shared" si="87"/>
        <v>-10.006767154898537</v>
      </c>
      <c r="AG196" s="592">
        <f t="shared" si="88"/>
        <v>6.4030156407842362</v>
      </c>
      <c r="AH196" s="593">
        <f t="shared" si="89"/>
        <v>-80.644125097930768</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5">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1.0027606072510373</v>
      </c>
      <c r="N197" s="585">
        <f t="shared" si="74"/>
        <v>-7.4219557829314331E-2</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8.4992313470014587</v>
      </c>
      <c r="X197" s="590">
        <f t="shared" si="82"/>
        <v>-106.65123044590821</v>
      </c>
      <c r="Y197" s="593">
        <f t="shared" si="83"/>
        <v>73.348769554091788</v>
      </c>
      <c r="AA197" s="150">
        <f t="shared" si="84"/>
        <v>1000000000</v>
      </c>
      <c r="AB197" s="150">
        <f t="shared" si="85"/>
        <v>124461914.0625</v>
      </c>
      <c r="AD197" s="592">
        <f t="shared" si="86"/>
        <v>27.651539205439256</v>
      </c>
      <c r="AE197" s="593">
        <f t="shared" si="87"/>
        <v>-9.986488293821921</v>
      </c>
      <c r="AG197" s="592">
        <f t="shared" si="88"/>
        <v>6.3545669210301261</v>
      </c>
      <c r="AH197" s="593">
        <f t="shared" si="89"/>
        <v>-80.650894806239506</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5">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1.0027922031402019</v>
      </c>
      <c r="N198" s="585">
        <f t="shared" si="74"/>
        <v>-7.4642100510216788E-2</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8.4489465757843458</v>
      </c>
      <c r="X198" s="590">
        <f t="shared" si="82"/>
        <v>-106.7287410076129</v>
      </c>
      <c r="Y198" s="593">
        <f t="shared" si="83"/>
        <v>73.271258992387104</v>
      </c>
      <c r="AA198" s="150">
        <f t="shared" si="84"/>
        <v>1000000000</v>
      </c>
      <c r="AB198" s="150">
        <f t="shared" si="85"/>
        <v>125888400</v>
      </c>
      <c r="AD198" s="592">
        <f t="shared" si="86"/>
        <v>27.650697293556576</v>
      </c>
      <c r="AE198" s="593">
        <f t="shared" si="87"/>
        <v>-9.9666411261759524</v>
      </c>
      <c r="AG198" s="592">
        <f t="shared" si="88"/>
        <v>6.3063998462378628</v>
      </c>
      <c r="AH198" s="593">
        <f t="shared" si="89"/>
        <v>-80.657329864324325</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5">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1.0028248528361405</v>
      </c>
      <c r="N199" s="585">
        <f t="shared" si="74"/>
        <v>-7.5076214589552923E-2</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8.3975752242747497</v>
      </c>
      <c r="X199" s="590">
        <f t="shared" si="82"/>
        <v>-106.80846848881532</v>
      </c>
      <c r="Y199" s="593">
        <f t="shared" si="83"/>
        <v>73.191531511184678</v>
      </c>
      <c r="AA199" s="150">
        <f t="shared" si="84"/>
        <v>1000000000</v>
      </c>
      <c r="AB199" s="150">
        <f t="shared" si="85"/>
        <v>127362510.25</v>
      </c>
      <c r="AD199" s="592">
        <f t="shared" si="86"/>
        <v>27.649843311657616</v>
      </c>
      <c r="AE199" s="593">
        <f t="shared" si="87"/>
        <v>-9.9466912021816647</v>
      </c>
      <c r="AG199" s="592">
        <f t="shared" si="88"/>
        <v>6.257200673293565</v>
      </c>
      <c r="AH199" s="593">
        <f t="shared" si="89"/>
        <v>-80.663598989318032</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5">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1.0028576915071443</v>
      </c>
      <c r="N200" s="585">
        <f t="shared" si="74"/>
        <v>-7.5510300320476176E-2</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8.3464981346957785</v>
      </c>
      <c r="X200" s="590">
        <f t="shared" si="82"/>
        <v>-106.88828470833381</v>
      </c>
      <c r="Y200" s="593">
        <f t="shared" si="83"/>
        <v>73.111715291666187</v>
      </c>
      <c r="AA200" s="150">
        <f t="shared" si="84"/>
        <v>1000000000</v>
      </c>
      <c r="AB200" s="150">
        <f t="shared" si="85"/>
        <v>128845201</v>
      </c>
      <c r="AD200" s="592">
        <f t="shared" si="86"/>
        <v>27.649000247225469</v>
      </c>
      <c r="AE200" s="593">
        <f t="shared" si="87"/>
        <v>-9.9271817678076815</v>
      </c>
      <c r="AG200" s="592">
        <f t="shared" si="88"/>
        <v>6.208292332338492</v>
      </c>
      <c r="AH200" s="593">
        <f t="shared" si="89"/>
        <v>-80.669526867376391</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5">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1.0028907191346499</v>
      </c>
      <c r="N201" s="585">
        <f t="shared" si="74"/>
        <v>-7.5944357542189408E-2</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8.2957118355472925</v>
      </c>
      <c r="X201" s="590">
        <f t="shared" si="82"/>
        <v>-106.96818803854872</v>
      </c>
      <c r="Y201" s="593">
        <f t="shared" si="83"/>
        <v>73.031811961451282</v>
      </c>
      <c r="AA201" s="150">
        <f t="shared" si="84"/>
        <v>1000000000</v>
      </c>
      <c r="AB201" s="150">
        <f t="shared" si="85"/>
        <v>130336472.25</v>
      </c>
      <c r="AD201" s="592">
        <f t="shared" si="86"/>
        <v>27.648167832219677</v>
      </c>
      <c r="AE201" s="593">
        <f t="shared" si="87"/>
        <v>-9.9081053613689356</v>
      </c>
      <c r="AG201" s="592">
        <f t="shared" si="88"/>
        <v>6.1596716167400274</v>
      </c>
      <c r="AH201" s="593">
        <f t="shared" si="89"/>
        <v>-80.675119390304872</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5">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1.0029239356999897</v>
      </c>
      <c r="N202" s="585">
        <f t="shared" si="74"/>
        <v>-7.637838609395961E-2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8.2452129160699421</v>
      </c>
      <c r="X202" s="590">
        <f t="shared" si="82"/>
        <v>-107.04817688605294</v>
      </c>
      <c r="Y202" s="593">
        <f t="shared" si="83"/>
        <v>72.951823113947057</v>
      </c>
      <c r="AA202" s="150">
        <f t="shared" si="84"/>
        <v>1000000000</v>
      </c>
      <c r="AB202" s="150">
        <f t="shared" si="85"/>
        <v>131836324</v>
      </c>
      <c r="AD202" s="592">
        <f t="shared" si="86"/>
        <v>27.647345806125788</v>
      </c>
      <c r="AE202" s="593">
        <f t="shared" si="87"/>
        <v>-9.8894546875667544</v>
      </c>
      <c r="AG202" s="592">
        <f t="shared" si="88"/>
        <v>6.111335373063346</v>
      </c>
      <c r="AH202" s="593">
        <f t="shared" si="89"/>
        <v>-80.680382317680937</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5">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1.0029579805305771</v>
      </c>
      <c r="N203" s="585">
        <f t="shared" si="74"/>
        <v>-7.6820667971142398E-2</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8.1940424656498987</v>
      </c>
      <c r="X203" s="590">
        <f t="shared" si="82"/>
        <v>-107.12977860406664</v>
      </c>
      <c r="Y203" s="593">
        <f t="shared" si="83"/>
        <v>72.870221395933356</v>
      </c>
      <c r="AA203" s="150">
        <f t="shared" si="84"/>
        <v>1000000000</v>
      </c>
      <c r="AB203" s="150">
        <f t="shared" si="85"/>
        <v>133373626.5625</v>
      </c>
      <c r="AD203" s="592">
        <f t="shared" si="86"/>
        <v>27.646518518549648</v>
      </c>
      <c r="AE203" s="593">
        <f t="shared" si="87"/>
        <v>-9.8708786971276954</v>
      </c>
      <c r="AG203" s="592">
        <f t="shared" si="88"/>
        <v>6.0623661382044887</v>
      </c>
      <c r="AH203" s="593">
        <f t="shared" si="89"/>
        <v>-80.685412421533556</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5">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1.0029922215397025</v>
      </c>
      <c r="N204" s="585">
        <f t="shared" si="74"/>
        <v>-7.7262919736834107E-2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8.1431635027966109</v>
      </c>
      <c r="X204" s="590">
        <f t="shared" si="82"/>
        <v>-107.21146589794404</v>
      </c>
      <c r="Y204" s="593">
        <f t="shared" si="83"/>
        <v>72.788534102055962</v>
      </c>
      <c r="AA204" s="150">
        <f t="shared" si="84"/>
        <v>1000000000</v>
      </c>
      <c r="AB204" s="150">
        <f t="shared" si="85"/>
        <v>134919840.25</v>
      </c>
      <c r="AD204" s="592">
        <f t="shared" si="86"/>
        <v>27.645701496713123</v>
      </c>
      <c r="AE204" s="593">
        <f t="shared" si="87"/>
        <v>-9.8527300541836134</v>
      </c>
      <c r="AG204" s="592">
        <f t="shared" si="88"/>
        <v>6.0136858878589852</v>
      </c>
      <c r="AH204" s="593">
        <f t="shared" si="89"/>
        <v>-80.690111903538508</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5">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1.0030266587072745</v>
      </c>
      <c r="N205" s="585">
        <f t="shared" ref="N205:N268" si="110">-ATAN(G205/z_RHP)</f>
        <v>-7.7705141221130369E-2</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8.0925726034746308</v>
      </c>
      <c r="X205" s="590">
        <f t="shared" ref="X205:X268" si="116">((L205+R205+N205+V205)-(J205+P205+T205))*radconv</f>
        <v>-107.29323718524824</v>
      </c>
      <c r="Y205" s="593">
        <f t="shared" ref="Y205:Y268" si="117">IF(X205&gt;0,X205,X205+180)</f>
        <v>72.706762814751755</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5.9652914477367389</v>
      </c>
      <c r="AH205" s="593">
        <f t="shared" ref="AH205:AH268" si="123">(L205+N205-(J205+V205))*radconv</f>
        <v>-80.694486458824969</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5">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1.0030612920130895</v>
      </c>
      <c r="N206" s="585">
        <f t="shared" si="110"/>
        <v>-7.8147332254197496E-2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8.0422664032734676</v>
      </c>
      <c r="X206" s="590">
        <f t="shared" si="116"/>
        <v>-107.37509091668944</v>
      </c>
      <c r="Y206" s="593">
        <f t="shared" si="117"/>
        <v>72.624909083310556</v>
      </c>
      <c r="AA206" s="150">
        <f t="shared" si="118"/>
        <v>1000000000</v>
      </c>
      <c r="AB206" s="150">
        <f t="shared" si="119"/>
        <v>138039001</v>
      </c>
      <c r="AD206" s="592">
        <f t="shared" si="120"/>
        <v>27.644097244643</v>
      </c>
      <c r="AE206" s="593">
        <f t="shared" si="121"/>
        <v>-9.8176861044377244</v>
      </c>
      <c r="AG206" s="592">
        <f t="shared" si="122"/>
        <v>5.917179696070427</v>
      </c>
      <c r="AH206" s="593">
        <f t="shared" si="123"/>
        <v>-80.69854165518646</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5">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1.0030970372058405</v>
      </c>
      <c r="N207" s="585">
        <f t="shared" si="110"/>
        <v>-7.8601084473349819E-2</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7.9909338399599772</v>
      </c>
      <c r="X207" s="590">
        <f t="shared" si="116"/>
        <v>-107.45917475000023</v>
      </c>
      <c r="Y207" s="593">
        <f t="shared" si="117"/>
        <v>72.54082524999977</v>
      </c>
      <c r="AA207" s="150">
        <f t="shared" si="118"/>
        <v>1000000000</v>
      </c>
      <c r="AB207" s="150">
        <f t="shared" si="119"/>
        <v>139653306.25</v>
      </c>
      <c r="AD207" s="592">
        <f t="shared" si="120"/>
        <v>27.643289003392859</v>
      </c>
      <c r="AE207" s="593">
        <f t="shared" si="121"/>
        <v>-9.8003389294098735</v>
      </c>
      <c r="AG207" s="592">
        <f t="shared" si="122"/>
        <v>5.868097270449411</v>
      </c>
      <c r="AH207" s="593">
        <f t="shared" si="123"/>
        <v>-80.702376848410822</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5">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1.0031329889125766</v>
      </c>
      <c r="N208" s="585">
        <f t="shared" si="110"/>
        <v>-7.9054804261478692E-2</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7.9398941071771691</v>
      </c>
      <c r="X208" s="590">
        <f t="shared" si="116"/>
        <v>-107.5433422044748</v>
      </c>
      <c r="Y208" s="593">
        <f t="shared" si="117"/>
        <v>72.456657795525203</v>
      </c>
      <c r="AA208" s="150">
        <f t="shared" si="118"/>
        <v>1000000000</v>
      </c>
      <c r="AB208" s="150">
        <f t="shared" si="119"/>
        <v>141276996</v>
      </c>
      <c r="AD208" s="592">
        <f t="shared" si="120"/>
        <v>27.642490544199458</v>
      </c>
      <c r="AE208" s="593">
        <f t="shared" si="121"/>
        <v>-9.7834122148084859</v>
      </c>
      <c r="AG208" s="592">
        <f t="shared" si="122"/>
        <v>5.8193060536992984</v>
      </c>
      <c r="AH208" s="593">
        <f t="shared" si="123"/>
        <v>-80.705887202181145</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5">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1.0031691471110948</v>
      </c>
      <c r="N209" s="585">
        <f t="shared" si="110"/>
        <v>-7.9508491435274012E-2</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7.8891437557658008</v>
      </c>
      <c r="X209" s="590">
        <f t="shared" si="116"/>
        <v>-107.6275917089359</v>
      </c>
      <c r="Y209" s="593">
        <f t="shared" si="117"/>
        <v>72.372408291064104</v>
      </c>
      <c r="AA209" s="150">
        <f t="shared" si="118"/>
        <v>1000000000</v>
      </c>
      <c r="AB209" s="150">
        <f t="shared" si="119"/>
        <v>142910070.25</v>
      </c>
      <c r="AD209" s="592">
        <f t="shared" si="120"/>
        <v>27.641701622849023</v>
      </c>
      <c r="AE209" s="593">
        <f t="shared" si="121"/>
        <v>-9.7668988329557944</v>
      </c>
      <c r="AG209" s="592">
        <f t="shared" si="122"/>
        <v>5.7708028370899758</v>
      </c>
      <c r="AH209" s="593">
        <f t="shared" si="123"/>
        <v>-80.709078338522488</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5">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1.0032055117790672</v>
      </c>
      <c r="N210" s="585">
        <f t="shared" si="110"/>
        <v>-7.9962145811505708E-2</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7.8386793967605719</v>
      </c>
      <c r="X210" s="590">
        <f t="shared" si="116"/>
        <v>-107.71192172521822</v>
      </c>
      <c r="Y210" s="593">
        <f t="shared" si="117"/>
        <v>72.288078274781782</v>
      </c>
      <c r="AA210" s="150">
        <f t="shared" si="118"/>
        <v>1000000000</v>
      </c>
      <c r="AB210" s="150">
        <f t="shared" si="119"/>
        <v>144552529</v>
      </c>
      <c r="AD210" s="592">
        <f t="shared" si="120"/>
        <v>27.640922001985196</v>
      </c>
      <c r="AE210" s="593">
        <f t="shared" si="121"/>
        <v>-9.7507918152108228</v>
      </c>
      <c r="AG210" s="592">
        <f t="shared" si="122"/>
        <v>5.7225844652080395</v>
      </c>
      <c r="AH210" s="593">
        <f t="shared" si="123"/>
        <v>-80.711955753368599</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5">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1.0032428860310734</v>
      </c>
      <c r="N211" s="585">
        <f t="shared" si="110"/>
        <v>-8.0425700151863871E-2</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7.7874019685511957</v>
      </c>
      <c r="X211" s="590">
        <f t="shared" si="116"/>
        <v>-107.79817999283139</v>
      </c>
      <c r="Y211" s="593">
        <f t="shared" si="117"/>
        <v>72.201820007168607</v>
      </c>
      <c r="AA211" s="150">
        <f t="shared" si="118"/>
        <v>1000000000</v>
      </c>
      <c r="AB211" s="150">
        <f t="shared" si="119"/>
        <v>146240649</v>
      </c>
      <c r="AD211" s="592">
        <f t="shared" si="120"/>
        <v>27.640134677273327</v>
      </c>
      <c r="AE211" s="593">
        <f t="shared" si="121"/>
        <v>-9.7347448083383608</v>
      </c>
      <c r="AG211" s="592">
        <f t="shared" si="122"/>
        <v>5.6736012567556928</v>
      </c>
      <c r="AH211" s="593">
        <f t="shared" si="123"/>
        <v>-80.714577666848172</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5">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1.0032804758464575</v>
      </c>
      <c r="N212" s="585">
        <f t="shared" si="110"/>
        <v>-8.0889219855924288E-2</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7.736416225903378</v>
      </c>
      <c r="X212" s="590">
        <f t="shared" si="116"/>
        <v>-107.88451919094713</v>
      </c>
      <c r="Y212" s="593">
        <f t="shared" si="117"/>
        <v>72.115480809052869</v>
      </c>
      <c r="AA212" s="150">
        <f t="shared" si="118"/>
        <v>1000000000</v>
      </c>
      <c r="AB212" s="150">
        <f t="shared" si="119"/>
        <v>147938569</v>
      </c>
      <c r="AD212" s="592">
        <f t="shared" si="120"/>
        <v>27.639356584600215</v>
      </c>
      <c r="AE212" s="593">
        <f t="shared" si="121"/>
        <v>-9.7191079329757706</v>
      </c>
      <c r="AG212" s="592">
        <f t="shared" si="122"/>
        <v>5.6249090075046029</v>
      </c>
      <c r="AH212" s="593">
        <f t="shared" si="123"/>
        <v>-80.716883185192756</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5">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1.0033182812009904</v>
      </c>
      <c r="N213" s="585">
        <f t="shared" si="110"/>
        <v>-8.1352704728416284E-2</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7.6857187381853311</v>
      </c>
      <c r="X213" s="590">
        <f t="shared" si="116"/>
        <v>-107.97093777936558</v>
      </c>
      <c r="Y213" s="593">
        <f t="shared" si="117"/>
        <v>72.029062220634415</v>
      </c>
      <c r="AA213" s="150">
        <f t="shared" si="118"/>
        <v>1000000000</v>
      </c>
      <c r="AB213" s="150">
        <f t="shared" si="119"/>
        <v>149646289</v>
      </c>
      <c r="AD213" s="592">
        <f t="shared" si="120"/>
        <v>27.638587491408735</v>
      </c>
      <c r="AE213" s="593">
        <f t="shared" si="121"/>
        <v>-9.7038742392327819</v>
      </c>
      <c r="AG213" s="592">
        <f t="shared" si="122"/>
        <v>5.5765045152561523</v>
      </c>
      <c r="AH213" s="593">
        <f t="shared" si="123"/>
        <v>-80.718877787723059</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5">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1.0033563020703091</v>
      </c>
      <c r="N214" s="585">
        <f t="shared" si="110"/>
        <v>-8.1816154574158403E-2</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7.6353061345169735</v>
      </c>
      <c r="X214" s="590">
        <f t="shared" si="116"/>
        <v>-108.05743425020276</v>
      </c>
      <c r="Y214" s="593">
        <f t="shared" si="117"/>
        <v>71.94256574979724</v>
      </c>
      <c r="AA214" s="150">
        <f t="shared" si="118"/>
        <v>1000000000</v>
      </c>
      <c r="AB214" s="150">
        <f t="shared" si="119"/>
        <v>151363809</v>
      </c>
      <c r="AD214" s="592">
        <f t="shared" si="120"/>
        <v>27.637827171667141</v>
      </c>
      <c r="AE214" s="593">
        <f t="shared" si="121"/>
        <v>-9.6890369322121863</v>
      </c>
      <c r="AG214" s="592">
        <f t="shared" si="122"/>
        <v>5.528384631016908</v>
      </c>
      <c r="AH214" s="593">
        <f t="shared" si="123"/>
        <v>-80.720566831007218</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5">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1.0033953601385948</v>
      </c>
      <c r="N215" s="585">
        <f t="shared" si="110"/>
        <v>-8.2289499124526586E-2</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7.5841039233616216</v>
      </c>
      <c r="X215" s="590">
        <f t="shared" si="116"/>
        <v>-108.14586308556885</v>
      </c>
      <c r="Y215" s="593">
        <f t="shared" si="117"/>
        <v>71.854136914431152</v>
      </c>
      <c r="AA215" s="150">
        <f t="shared" si="118"/>
        <v>1000000000</v>
      </c>
      <c r="AB215" s="150">
        <f t="shared" si="119"/>
        <v>153128250.25</v>
      </c>
      <c r="AD215" s="592">
        <f t="shared" si="120"/>
        <v>27.637059388404218</v>
      </c>
      <c r="AE215" s="593">
        <f t="shared" si="121"/>
        <v>-9.6742839941802021</v>
      </c>
      <c r="AG215" s="592">
        <f t="shared" si="122"/>
        <v>5.4795242081070175</v>
      </c>
      <c r="AH215" s="593">
        <f t="shared" si="123"/>
        <v>-80.721982061879302</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5">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1.0034346430051604</v>
      </c>
      <c r="N216" s="585">
        <f t="shared" si="110"/>
        <v>-8.2762806719565776E-2</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7.5331920119588522</v>
      </c>
      <c r="X216" s="590">
        <f t="shared" si="116"/>
        <v>-108.23437009625657</v>
      </c>
      <c r="Y216" s="593">
        <f t="shared" si="117"/>
        <v>71.765629903743431</v>
      </c>
      <c r="AA216" s="150">
        <f t="shared" si="118"/>
        <v>1000000000</v>
      </c>
      <c r="AB216" s="150">
        <f t="shared" si="119"/>
        <v>154902916</v>
      </c>
      <c r="AD216" s="592">
        <f t="shared" si="120"/>
        <v>27.636300301817336</v>
      </c>
      <c r="AE216" s="593">
        <f t="shared" si="121"/>
        <v>-9.6599307587404049</v>
      </c>
      <c r="AG216" s="592">
        <f t="shared" si="122"/>
        <v>5.4309542449489836</v>
      </c>
      <c r="AH216" s="593">
        <f t="shared" si="123"/>
        <v>-80.723089417717588</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5">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1.0034741506436056</v>
      </c>
      <c r="N217" s="585">
        <f t="shared" si="110"/>
        <v>-8.3236077151567736E-2</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7.4825669922874187</v>
      </c>
      <c r="X217" s="590">
        <f t="shared" si="116"/>
        <v>-108.3229537742926</v>
      </c>
      <c r="Y217" s="593">
        <f t="shared" si="117"/>
        <v>71.6770462257074</v>
      </c>
      <c r="AA217" s="150">
        <f t="shared" si="118"/>
        <v>1000000000</v>
      </c>
      <c r="AB217" s="150">
        <f t="shared" si="119"/>
        <v>156687806.25</v>
      </c>
      <c r="AD217" s="592">
        <f t="shared" si="120"/>
        <v>27.635549690731942</v>
      </c>
      <c r="AE217" s="593">
        <f t="shared" si="121"/>
        <v>-9.6459704582711971</v>
      </c>
      <c r="AG217" s="592">
        <f t="shared" si="122"/>
        <v>5.3826715502095279</v>
      </c>
      <c r="AH217" s="593">
        <f t="shared" si="123"/>
        <v>-80.723894232046177</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5">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1.0035138830273831</v>
      </c>
      <c r="N218" s="585">
        <f t="shared" si="110"/>
        <v>-8.370931021292341E-2</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7.4322255155432</v>
      </c>
      <c r="X218" s="590">
        <f t="shared" si="116"/>
        <v>-108.41161264327491</v>
      </c>
      <c r="Y218" s="593">
        <f t="shared" si="117"/>
        <v>71.588387356725093</v>
      </c>
      <c r="AA218" s="150">
        <f t="shared" si="118"/>
        <v>1000000000</v>
      </c>
      <c r="AB218" s="150">
        <f t="shared" si="119"/>
        <v>158482921</v>
      </c>
      <c r="AD218" s="592">
        <f t="shared" si="120"/>
        <v>27.634807340172308</v>
      </c>
      <c r="AE218" s="593">
        <f t="shared" si="121"/>
        <v>-9.6323964759341543</v>
      </c>
      <c r="AG218" s="592">
        <f t="shared" si="122"/>
        <v>5.3346729855504975</v>
      </c>
      <c r="AH218" s="593">
        <f t="shared" si="123"/>
        <v>-80.724401719093848</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5">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1.0035548209179721</v>
      </c>
      <c r="N219" s="585">
        <f t="shared" si="110"/>
        <v>-8.4194086930871159E-2</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7.3809425021600807</v>
      </c>
      <c r="X219" s="590">
        <f t="shared" si="116"/>
        <v>-108.50251794733234</v>
      </c>
      <c r="Y219" s="593">
        <f t="shared" si="117"/>
        <v>71.497482052667664</v>
      </c>
      <c r="AA219" s="150">
        <f t="shared" si="118"/>
        <v>1000000000</v>
      </c>
      <c r="AB219" s="150">
        <f t="shared" si="119"/>
        <v>160332575.0625</v>
      </c>
      <c r="AD219" s="592">
        <f t="shared" si="120"/>
        <v>27.63405516801495</v>
      </c>
      <c r="AE219" s="593">
        <f t="shared" si="121"/>
        <v>-9.6188841165890668</v>
      </c>
      <c r="AG219" s="592">
        <f t="shared" si="122"/>
        <v>5.2857910508505928</v>
      </c>
      <c r="AH219" s="593">
        <f t="shared" si="123"/>
        <v>-80.724618624318182</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5">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1.0035959946331674</v>
      </c>
      <c r="N220" s="585">
        <f t="shared" si="110"/>
        <v>-8.4678823985649576E-2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7.3299501504511166</v>
      </c>
      <c r="X220" s="590">
        <f t="shared" si="116"/>
        <v>-108.59349912899167</v>
      </c>
      <c r="Y220" s="593">
        <f t="shared" si="117"/>
        <v>71.406500871008333</v>
      </c>
      <c r="AA220" s="150">
        <f t="shared" si="118"/>
        <v>1000000000</v>
      </c>
      <c r="AB220" s="150">
        <f t="shared" si="119"/>
        <v>162192960.25</v>
      </c>
      <c r="AD220" s="592">
        <f t="shared" si="120"/>
        <v>27.633311227975188</v>
      </c>
      <c r="AE220" s="593">
        <f t="shared" si="121"/>
        <v>-9.6057636253954737</v>
      </c>
      <c r="AG220" s="592">
        <f t="shared" si="122"/>
        <v>5.2372008221330351</v>
      </c>
      <c r="AH220" s="593">
        <f t="shared" si="123"/>
        <v>-80.724534179205762</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5">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1.0036374041439453</v>
      </c>
      <c r="N221" s="585">
        <f t="shared" si="110"/>
        <v>-8.516352115435688E-2</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7.2792450441674204</v>
      </c>
      <c r="X221" s="590">
        <f t="shared" si="116"/>
        <v>-108.68455469843114</v>
      </c>
      <c r="Y221" s="593">
        <f t="shared" si="117"/>
        <v>71.315445301568857</v>
      </c>
      <c r="AA221" s="150">
        <f t="shared" si="118"/>
        <v>1000000000</v>
      </c>
      <c r="AB221" s="150">
        <f t="shared" si="119"/>
        <v>164064076.5625</v>
      </c>
      <c r="AD221" s="592">
        <f t="shared" si="120"/>
        <v>27.632575307814822</v>
      </c>
      <c r="AE221" s="593">
        <f t="shared" si="121"/>
        <v>-9.593028353152361</v>
      </c>
      <c r="AG221" s="592">
        <f t="shared" si="122"/>
        <v>5.1888990904627761</v>
      </c>
      <c r="AH221" s="593">
        <f t="shared" si="123"/>
        <v>-80.724153622201968</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5">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1.0036790494211205</v>
      </c>
      <c r="N222" s="585">
        <f t="shared" si="110"/>
        <v>-8.5648178214202939E-2</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7.2288238264564839</v>
      </c>
      <c r="X222" s="590">
        <f t="shared" si="116"/>
        <v>-108.77568319703376</v>
      </c>
      <c r="Y222" s="593">
        <f t="shared" si="117"/>
        <v>71.224316802966243</v>
      </c>
      <c r="AA222" s="150">
        <f t="shared" si="118"/>
        <v>1000000000</v>
      </c>
      <c r="AB222" s="150">
        <f t="shared" si="119"/>
        <v>165945924</v>
      </c>
      <c r="AD222" s="592">
        <f t="shared" si="120"/>
        <v>27.631847201254644</v>
      </c>
      <c r="AE222" s="593">
        <f t="shared" si="121"/>
        <v>-9.5806717990917836</v>
      </c>
      <c r="AG222" s="592">
        <f t="shared" si="122"/>
        <v>5.1408827003168467</v>
      </c>
      <c r="AH222" s="593">
        <f t="shared" si="123"/>
        <v>-80.723482074431686</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5">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1.0037220772501116</v>
      </c>
      <c r="N223" s="585">
        <f t="shared" si="110"/>
        <v>-8.6146026230828579E-2</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7.1773180754160126</v>
      </c>
      <c r="X223" s="590">
        <f t="shared" si="116"/>
        <v>-108.86937428838149</v>
      </c>
      <c r="Y223" s="593">
        <f t="shared" si="117"/>
        <v>71.130625711618507</v>
      </c>
      <c r="AA223" s="150">
        <f t="shared" si="118"/>
        <v>1000000000</v>
      </c>
      <c r="AB223" s="150">
        <f t="shared" si="119"/>
        <v>167890327.5625</v>
      </c>
      <c r="AD223" s="592">
        <f t="shared" si="120"/>
        <v>27.631107140508824</v>
      </c>
      <c r="AE223" s="593">
        <f t="shared" si="121"/>
        <v>-9.5683655563324876</v>
      </c>
      <c r="AG223" s="592">
        <f t="shared" si="122"/>
        <v>5.0918491561006682</v>
      </c>
      <c r="AH223" s="593">
        <f t="shared" si="123"/>
        <v>-80.722494434608208</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5">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1.003765353832913</v>
      </c>
      <c r="N224" s="585">
        <f t="shared" si="110"/>
        <v>-8.6643831442147559E-2</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7.126104931682252</v>
      </c>
      <c r="X224" s="590">
        <f t="shared" si="116"/>
        <v>-108.96313932260441</v>
      </c>
      <c r="Y224" s="593">
        <f t="shared" si="117"/>
        <v>71.036860677395595</v>
      </c>
      <c r="AA224" s="150">
        <f t="shared" si="118"/>
        <v>1000000000</v>
      </c>
      <c r="AB224" s="150">
        <f t="shared" si="119"/>
        <v>169846056.25</v>
      </c>
      <c r="AD224" s="592">
        <f t="shared" si="120"/>
        <v>27.630374902998057</v>
      </c>
      <c r="AE224" s="593">
        <f t="shared" si="121"/>
        <v>-9.5564455500710785</v>
      </c>
      <c r="AG224" s="592">
        <f t="shared" si="122"/>
        <v>5.0431101647674828</v>
      </c>
      <c r="AH224" s="593">
        <f t="shared" si="123"/>
        <v>-80.721210287199497</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5">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1.0038088791373514</v>
      </c>
      <c r="N225" s="585">
        <f t="shared" si="110"/>
        <v>-8.7141593606989962E-2</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7.0751809427189061</v>
      </c>
      <c r="X225" s="590">
        <f t="shared" si="116"/>
        <v>-109.05697681575847</v>
      </c>
      <c r="Y225" s="593">
        <f t="shared" si="117"/>
        <v>70.943023184241525</v>
      </c>
      <c r="AA225" s="150">
        <f t="shared" si="118"/>
        <v>1000000000</v>
      </c>
      <c r="AB225" s="150">
        <f t="shared" si="119"/>
        <v>171813110.0625</v>
      </c>
      <c r="AD225" s="592">
        <f t="shared" si="120"/>
        <v>27.629650283434227</v>
      </c>
      <c r="AE225" s="593">
        <f t="shared" si="121"/>
        <v>-9.5449051949696653</v>
      </c>
      <c r="AG225" s="592">
        <f t="shared" si="122"/>
        <v>4.9946624736195568</v>
      </c>
      <c r="AH225" s="593">
        <f t="shared" si="123"/>
        <v>-80.719634818907025</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5">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1.0038526531310747</v>
      </c>
      <c r="N226" s="585">
        <f t="shared" si="110"/>
        <v>-8.7639312484312948E-2</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7.0245427162160654</v>
      </c>
      <c r="X226" s="590">
        <f t="shared" si="116"/>
        <v>-109.15088531506954</v>
      </c>
      <c r="Y226" s="593">
        <f t="shared" si="117"/>
        <v>70.849114684930456</v>
      </c>
      <c r="AA226" s="150">
        <f t="shared" si="118"/>
        <v>1000000000</v>
      </c>
      <c r="AB226" s="150">
        <f t="shared" si="119"/>
        <v>173791489</v>
      </c>
      <c r="AD226" s="592">
        <f t="shared" si="120"/>
        <v>27.628933082318689</v>
      </c>
      <c r="AE226" s="593">
        <f t="shared" si="121"/>
        <v>-9.533738053370918</v>
      </c>
      <c r="AG226" s="592">
        <f t="shared" si="122"/>
        <v>4.9465028843681829</v>
      </c>
      <c r="AH226" s="593">
        <f t="shared" si="123"/>
        <v>-80.717773099812632</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5">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1.0038975558369516</v>
      </c>
      <c r="N227" s="585">
        <f t="shared" si="110"/>
        <v>-8.8146907827915164E-2</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6.9731859971452073</v>
      </c>
      <c r="X227" s="590">
        <f t="shared" si="116"/>
        <v>-109.24673741313039</v>
      </c>
      <c r="Y227" s="593">
        <f t="shared" si="117"/>
        <v>70.75326258686961</v>
      </c>
      <c r="AA227" s="150">
        <f t="shared" si="118"/>
        <v>1000000000</v>
      </c>
      <c r="AB227" s="150">
        <f t="shared" si="119"/>
        <v>175820970.0625</v>
      </c>
      <c r="AD227" s="592">
        <f t="shared" si="120"/>
        <v>27.628209025532875</v>
      </c>
      <c r="AE227" s="593">
        <f t="shared" si="121"/>
        <v>-9.5227262319179253</v>
      </c>
      <c r="AG227" s="592">
        <f t="shared" si="122"/>
        <v>4.8976768157808852</v>
      </c>
      <c r="AH227" s="593">
        <f t="shared" si="123"/>
        <v>-80.715584542651072</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5">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1.0039427171769022</v>
      </c>
      <c r="N228" s="585">
        <f t="shared" si="110"/>
        <v>-8.8654457634960937E-2</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6.9221196038599553</v>
      </c>
      <c r="X228" s="590">
        <f t="shared" si="116"/>
        <v>-109.34266041916972</v>
      </c>
      <c r="Y228" s="593">
        <f t="shared" si="117"/>
        <v>70.657339580830282</v>
      </c>
      <c r="AA228" s="150">
        <f t="shared" si="118"/>
        <v>1000000000</v>
      </c>
      <c r="AB228" s="150">
        <f t="shared" si="119"/>
        <v>177862232.25</v>
      </c>
      <c r="AD228" s="592">
        <f t="shared" si="120"/>
        <v>27.627492284265283</v>
      </c>
      <c r="AE228" s="593">
        <f t="shared" si="121"/>
        <v>-9.5120895757121193</v>
      </c>
      <c r="AG228" s="592">
        <f t="shared" si="122"/>
        <v>4.8491438966430946</v>
      </c>
      <c r="AH228" s="593">
        <f t="shared" si="123"/>
        <v>-80.713108505931118</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5">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1.0039881371160246</v>
      </c>
      <c r="N229" s="585">
        <f t="shared" si="110"/>
        <v>-8.9161961650116389E-2</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6.8713401218605821</v>
      </c>
      <c r="X229" s="590">
        <f t="shared" si="116"/>
        <v>-109.43865288667676</v>
      </c>
      <c r="Y229" s="593">
        <f t="shared" si="117"/>
        <v>70.561347113323237</v>
      </c>
      <c r="AA229" s="150">
        <f t="shared" si="118"/>
        <v>1000000000</v>
      </c>
      <c r="AB229" s="150">
        <f t="shared" si="119"/>
        <v>179915275.5625</v>
      </c>
      <c r="AD229" s="592">
        <f t="shared" si="120"/>
        <v>27.626782664232799</v>
      </c>
      <c r="AE229" s="593">
        <f t="shared" si="121"/>
        <v>-9.50182170311923</v>
      </c>
      <c r="AG229" s="592">
        <f t="shared" si="122"/>
        <v>4.8009009008369805</v>
      </c>
      <c r="AH229" s="593">
        <f t="shared" si="123"/>
        <v>-80.710350014827497</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5">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1.0040338156192237</v>
      </c>
      <c r="N230" s="585">
        <f t="shared" si="110"/>
        <v>-8.9669419618188057E-2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6.8208441959841544</v>
      </c>
      <c r="X230" s="590">
        <f t="shared" si="116"/>
        <v>-109.53471339938223</v>
      </c>
      <c r="Y230" s="593">
        <f t="shared" si="117"/>
        <v>70.465286600617773</v>
      </c>
      <c r="AA230" s="150">
        <f t="shared" si="118"/>
        <v>1000000000</v>
      </c>
      <c r="AB230" s="150">
        <f t="shared" si="119"/>
        <v>181980100</v>
      </c>
      <c r="AD230" s="592">
        <f t="shared" si="120"/>
        <v>27.626079976616897</v>
      </c>
      <c r="AE230" s="593">
        <f t="shared" si="121"/>
        <v>-9.4919163752460882</v>
      </c>
      <c r="AG230" s="592">
        <f t="shared" si="122"/>
        <v>4.7529446560869806</v>
      </c>
      <c r="AH230" s="593">
        <f t="shared" si="123"/>
        <v>-80.707313981894643</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5">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1.0040808030897157</v>
      </c>
      <c r="N231" s="585">
        <f t="shared" si="110"/>
        <v>-9.0188400389314458E-2</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6.7694867888034267</v>
      </c>
      <c r="X231" s="590">
        <f t="shared" si="116"/>
        <v>-109.63303316173466</v>
      </c>
      <c r="Y231" s="593">
        <f t="shared" si="117"/>
        <v>70.366966838265341</v>
      </c>
      <c r="AA231" s="150">
        <f t="shared" si="118"/>
        <v>1000000000</v>
      </c>
      <c r="AB231" s="150">
        <f t="shared" si="119"/>
        <v>184104192.25</v>
      </c>
      <c r="AD231" s="592">
        <f t="shared" si="120"/>
        <v>27.625368246854258</v>
      </c>
      <c r="AE231" s="593">
        <f t="shared" si="121"/>
        <v>-9.4821538742043163</v>
      </c>
      <c r="AG231" s="592">
        <f t="shared" si="122"/>
        <v>4.704188328168871</v>
      </c>
      <c r="AH231" s="593">
        <f t="shared" si="123"/>
        <v>-80.703926622740596</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5">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1.0041280609750238</v>
      </c>
      <c r="N232" s="585">
        <f t="shared" si="110"/>
        <v>-9.0707332449988784E-2</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6.7184191003805216</v>
      </c>
      <c r="X232" s="590">
        <f t="shared" si="116"/>
        <v>-109.73142120410807</v>
      </c>
      <c r="Y232" s="593">
        <f t="shared" si="117"/>
        <v>70.268578795891926</v>
      </c>
      <c r="AA232" s="150">
        <f t="shared" si="118"/>
        <v>1000000000</v>
      </c>
      <c r="AB232" s="150">
        <f t="shared" si="119"/>
        <v>186240609</v>
      </c>
      <c r="AD232" s="592">
        <f t="shared" si="120"/>
        <v>27.624663386410564</v>
      </c>
      <c r="AE232" s="593">
        <f t="shared" si="121"/>
        <v>-9.4727578774577808</v>
      </c>
      <c r="AG232" s="592">
        <f t="shared" si="122"/>
        <v>4.6557254314914918</v>
      </c>
      <c r="AH232" s="593">
        <f t="shared" si="123"/>
        <v>-80.700258969060471</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5">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1.0041755892369693</v>
      </c>
      <c r="N233" s="585">
        <f t="shared" si="110"/>
        <v>-9.122621552762103E-2</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6.6676377246120975</v>
      </c>
      <c r="X233" s="590">
        <f t="shared" si="116"/>
        <v>-109.82987610409492</v>
      </c>
      <c r="Y233" s="593">
        <f t="shared" si="117"/>
        <v>70.170123895905078</v>
      </c>
      <c r="AA233" s="150">
        <f t="shared" si="118"/>
        <v>1000000000</v>
      </c>
      <c r="AB233" s="150">
        <f t="shared" si="119"/>
        <v>188389350.25</v>
      </c>
      <c r="AD233" s="592">
        <f t="shared" si="120"/>
        <v>27.623965209828029</v>
      </c>
      <c r="AE233" s="593">
        <f t="shared" si="121"/>
        <v>-9.463722147578423</v>
      </c>
      <c r="AG233" s="592">
        <f t="shared" si="122"/>
        <v>4.6075527389660236</v>
      </c>
      <c r="AH233" s="593">
        <f t="shared" si="123"/>
        <v>-80.696315931713301</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5">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1.0042233878371634</v>
      </c>
      <c r="N234" s="585">
        <f t="shared" si="110"/>
        <v>-9.1745049349778215E-2</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6.6171393145296395</v>
      </c>
      <c r="X234" s="590">
        <f t="shared" si="116"/>
        <v>-109.92839646895737</v>
      </c>
      <c r="Y234" s="593">
        <f t="shared" si="117"/>
        <v>70.071603531042626</v>
      </c>
      <c r="AA234" s="150">
        <f t="shared" si="118"/>
        <v>1000000000</v>
      </c>
      <c r="AB234" s="150">
        <f t="shared" si="119"/>
        <v>190550416</v>
      </c>
      <c r="AD234" s="592">
        <f t="shared" si="120"/>
        <v>27.623273536865959</v>
      </c>
      <c r="AE234" s="593">
        <f t="shared" si="121"/>
        <v>-9.4550405866784732</v>
      </c>
      <c r="AG234" s="592">
        <f t="shared" si="122"/>
        <v>4.5596670773888972</v>
      </c>
      <c r="AH234" s="593">
        <f t="shared" si="123"/>
        <v>-80.692102311554819</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5">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1.0042725314164456</v>
      </c>
      <c r="N235" s="585">
        <f t="shared" si="110"/>
        <v>-9.2275398332697434E-2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6.5658042170017268</v>
      </c>
      <c r="X235" s="590">
        <f t="shared" si="116"/>
        <v>-110.02917939781544</v>
      </c>
      <c r="Y235" s="593">
        <f t="shared" si="117"/>
        <v>69.97082060218456</v>
      </c>
      <c r="AA235" s="150">
        <f t="shared" si="118"/>
        <v>1000000000</v>
      </c>
      <c r="AB235" s="150">
        <f t="shared" si="119"/>
        <v>192772398.0625</v>
      </c>
      <c r="AD235" s="592">
        <f t="shared" si="120"/>
        <v>27.622572984739698</v>
      </c>
      <c r="AE235" s="593">
        <f t="shared" si="121"/>
        <v>-9.4465253799101276</v>
      </c>
      <c r="AG235" s="592">
        <f t="shared" si="122"/>
        <v>4.5110073522048983</v>
      </c>
      <c r="AH235" s="593">
        <f t="shared" si="123"/>
        <v>-80.687519946495399</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5">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1.0043219574398166</v>
      </c>
      <c r="N236" s="585">
        <f t="shared" si="110"/>
        <v>-9.2805695264286892E-2</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6.5147579516801564</v>
      </c>
      <c r="X236" s="590">
        <f t="shared" si="116"/>
        <v>-110.1300278908724</v>
      </c>
      <c r="Y236" s="593">
        <f t="shared" si="117"/>
        <v>69.869972109127602</v>
      </c>
      <c r="AA236" s="150">
        <f t="shared" si="118"/>
        <v>1000000000</v>
      </c>
      <c r="AB236" s="150">
        <f t="shared" si="119"/>
        <v>195007260.25</v>
      </c>
      <c r="AD236" s="592">
        <f t="shared" si="120"/>
        <v>27.6218788644446</v>
      </c>
      <c r="AE236" s="593">
        <f t="shared" si="121"/>
        <v>-9.4383678511611198</v>
      </c>
      <c r="AG236" s="592">
        <f t="shared" si="122"/>
        <v>4.4626410589654721</v>
      </c>
      <c r="AH236" s="593">
        <f t="shared" si="123"/>
        <v>-80.682664607718593</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5">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1.0043716658655781</v>
      </c>
      <c r="N237" s="585">
        <f t="shared" si="110"/>
        <v>-9.333593985399842E-2</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6.4639971256325275</v>
      </c>
      <c r="X237" s="590">
        <f t="shared" si="116"/>
        <v>-110.23094055119923</v>
      </c>
      <c r="Y237" s="593">
        <f t="shared" si="117"/>
        <v>69.769059448800775</v>
      </c>
      <c r="AA237" s="150">
        <f t="shared" si="118"/>
        <v>1000000000</v>
      </c>
      <c r="AB237" s="150">
        <f t="shared" si="119"/>
        <v>197255002.5625</v>
      </c>
      <c r="AD237" s="592">
        <f t="shared" si="120"/>
        <v>27.621190999210476</v>
      </c>
      <c r="AE237" s="593">
        <f t="shared" si="121"/>
        <v>-9.4305619130254001</v>
      </c>
      <c r="AG237" s="592">
        <f t="shared" si="122"/>
        <v>4.4145649744849562</v>
      </c>
      <c r="AH237" s="593">
        <f t="shared" si="123"/>
        <v>-80.677541087522755</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5">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1.0044216566518025</v>
      </c>
      <c r="N238" s="585">
        <f t="shared" si="110"/>
        <v>-9.3866131811458975E-2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6.4135184047505547</v>
      </c>
      <c r="X238" s="590">
        <f t="shared" si="116"/>
        <v>-110.33191601091458</v>
      </c>
      <c r="Y238" s="593">
        <f t="shared" si="117"/>
        <v>69.668083989085417</v>
      </c>
      <c r="AA238" s="150">
        <f t="shared" si="118"/>
        <v>1000000000</v>
      </c>
      <c r="AB238" s="150">
        <f t="shared" si="119"/>
        <v>199515625</v>
      </c>
      <c r="AD238" s="592">
        <f t="shared" si="120"/>
        <v>27.620509217238258</v>
      </c>
      <c r="AE238" s="593">
        <f t="shared" si="121"/>
        <v>-9.4231016142346711</v>
      </c>
      <c r="AG238" s="592">
        <f t="shared" si="122"/>
        <v>4.3667759293952564</v>
      </c>
      <c r="AH238" s="593">
        <f t="shared" si="123"/>
        <v>-80.67215407096883</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5">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1.0044731862738898</v>
      </c>
      <c r="N239" s="585">
        <f t="shared" si="110"/>
        <v>-9.4409482355854377E-2</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6.3620709579485588</v>
      </c>
      <c r="X239" s="590">
        <f t="shared" si="116"/>
        <v>-110.43547175804314</v>
      </c>
      <c r="Y239" s="593">
        <f t="shared" si="117"/>
        <v>69.564528241956864</v>
      </c>
      <c r="AA239" s="150">
        <f t="shared" si="118"/>
        <v>1000000000</v>
      </c>
      <c r="AB239" s="150">
        <f t="shared" si="119"/>
        <v>201845952.5625</v>
      </c>
      <c r="AD239" s="592">
        <f t="shared" si="120"/>
        <v>27.619816581679789</v>
      </c>
      <c r="AE239" s="593">
        <f t="shared" si="121"/>
        <v>-9.41580796921372</v>
      </c>
      <c r="AG239" s="592">
        <f t="shared" si="122"/>
        <v>4.3180904782938327</v>
      </c>
      <c r="AH239" s="593">
        <f t="shared" si="123"/>
        <v>-80.666364162343442</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5">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1.0045250124159335</v>
      </c>
      <c r="N240" s="585">
        <f t="shared" si="110"/>
        <v>-9.4952776994806365E-2</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6.3109129445206946</v>
      </c>
      <c r="X240" s="590">
        <f t="shared" si="116"/>
        <v>-110.53909065433928</v>
      </c>
      <c r="Y240" s="593">
        <f t="shared" si="117"/>
        <v>69.460909345660724</v>
      </c>
      <c r="AA240" s="150">
        <f t="shared" si="118"/>
        <v>1000000000</v>
      </c>
      <c r="AB240" s="150">
        <f t="shared" si="119"/>
        <v>204189810.25</v>
      </c>
      <c r="AD240" s="592">
        <f t="shared" si="120"/>
        <v>27.619129986243696</v>
      </c>
      <c r="AE240" s="593">
        <f t="shared" si="121"/>
        <v>-9.4088651697058427</v>
      </c>
      <c r="AG240" s="592">
        <f t="shared" si="122"/>
        <v>4.2696999788047876</v>
      </c>
      <c r="AH240" s="593">
        <f t="shared" si="123"/>
        <v>-80.660307092950006</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5">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1.0045771350320414</v>
      </c>
      <c r="N241" s="585">
        <f t="shared" si="110"/>
        <v>-9.5496015416264832E-2</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6.2600409584093732</v>
      </c>
      <c r="X241" s="590">
        <f t="shared" si="116"/>
        <v>-110.64277131701471</v>
      </c>
      <c r="Y241" s="593">
        <f t="shared" si="117"/>
        <v>69.357228682985294</v>
      </c>
      <c r="AA241" s="150">
        <f t="shared" si="118"/>
        <v>1000000000</v>
      </c>
      <c r="AB241" s="150">
        <f t="shared" si="119"/>
        <v>206547198.0625</v>
      </c>
      <c r="AD241" s="592">
        <f t="shared" si="120"/>
        <v>27.618449261149681</v>
      </c>
      <c r="AE241" s="593">
        <f t="shared" si="121"/>
        <v>-9.402267229094468</v>
      </c>
      <c r="AG241" s="592">
        <f t="shared" si="122"/>
        <v>4.2216011869362582</v>
      </c>
      <c r="AH241" s="593">
        <f t="shared" si="123"/>
        <v>-80.653987575600496</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5">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1.0046295540760677</v>
      </c>
      <c r="N242" s="585">
        <f t="shared" si="110"/>
        <v>-9.6039197308376942E-2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6.2094516526775365</v>
      </c>
      <c r="X242" s="590">
        <f t="shared" si="116"/>
        <v>-110.74651239200594</v>
      </c>
      <c r="Y242" s="593">
        <f t="shared" si="117"/>
        <v>69.25348760799406</v>
      </c>
      <c r="AA242" s="150">
        <f t="shared" si="118"/>
        <v>1000000000</v>
      </c>
      <c r="AB242" s="150">
        <f t="shared" si="119"/>
        <v>208918116</v>
      </c>
      <c r="AD242" s="592">
        <f t="shared" si="120"/>
        <v>27.617774241402557</v>
      </c>
      <c r="AE242" s="593">
        <f t="shared" si="121"/>
        <v>-9.3960082949349211</v>
      </c>
      <c r="AG242" s="592">
        <f t="shared" si="122"/>
        <v>4.1737909129937325</v>
      </c>
      <c r="AH242" s="593">
        <f t="shared" si="123"/>
        <v>-80.647410217495917</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5">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1.00473786689689</v>
      </c>
      <c r="N243" s="585">
        <f t="shared" si="110"/>
        <v>-9.7151799392307267E-2</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6.1066817156174356</v>
      </c>
      <c r="X243" s="590">
        <f t="shared" si="116"/>
        <v>-110.95922279539386</v>
      </c>
      <c r="Y243" s="593">
        <f t="shared" si="117"/>
        <v>69.040777204606144</v>
      </c>
      <c r="AA243" s="150">
        <f t="shared" si="118"/>
        <v>1000000000</v>
      </c>
      <c r="AB243" s="150">
        <f t="shared" si="119"/>
        <v>213817506.25</v>
      </c>
      <c r="AD243" s="592">
        <f t="shared" si="120"/>
        <v>27.616408519734406</v>
      </c>
      <c r="AE243" s="593">
        <f t="shared" si="121"/>
        <v>-9.3842207034030842</v>
      </c>
      <c r="AG243" s="592">
        <f t="shared" si="122"/>
        <v>4.0767330573041924</v>
      </c>
      <c r="AH243" s="593">
        <f t="shared" si="123"/>
        <v>-80.633149327476687</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5">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1.0047924896373515</v>
      </c>
      <c r="N244" s="585">
        <f t="shared" si="110"/>
        <v>-9.7708010139300291E-2</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6.0557278397890091</v>
      </c>
      <c r="X244" s="590">
        <f t="shared" si="116"/>
        <v>-111.06566752922046</v>
      </c>
      <c r="Y244" s="593">
        <f t="shared" si="117"/>
        <v>68.934332470779538</v>
      </c>
      <c r="AA244" s="150">
        <f t="shared" si="118"/>
        <v>1000000000</v>
      </c>
      <c r="AB244" s="150">
        <f t="shared" si="119"/>
        <v>216288495.5625</v>
      </c>
      <c r="AD244" s="592">
        <f t="shared" si="120"/>
        <v>27.615733971826138</v>
      </c>
      <c r="AE244" s="593">
        <f t="shared" si="121"/>
        <v>-9.3788365496408108</v>
      </c>
      <c r="AG244" s="592">
        <f t="shared" si="122"/>
        <v>4.0286450425050733</v>
      </c>
      <c r="AH244" s="593">
        <f t="shared" si="123"/>
        <v>-80.625631897300252</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5">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1.0048474231970104</v>
      </c>
      <c r="N245" s="585">
        <f t="shared" si="110"/>
        <v>-9.8264160243855064E-2</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6.0050568677781175</v>
      </c>
      <c r="X245" s="590">
        <f t="shared" si="116"/>
        <v>-111.17217015743617</v>
      </c>
      <c r="Y245" s="593">
        <f t="shared" si="117"/>
        <v>68.82782984256383</v>
      </c>
      <c r="AA245" s="150">
        <f t="shared" si="118"/>
        <v>1000000000</v>
      </c>
      <c r="AB245" s="150">
        <f t="shared" si="119"/>
        <v>218773681</v>
      </c>
      <c r="AD245" s="592">
        <f t="shared" si="120"/>
        <v>27.615064753475597</v>
      </c>
      <c r="AE245" s="593">
        <f t="shared" si="121"/>
        <v>-9.3737844543939879</v>
      </c>
      <c r="AG245" s="592">
        <f t="shared" si="122"/>
        <v>3.9808466794941735</v>
      </c>
      <c r="AH245" s="593">
        <f t="shared" si="123"/>
        <v>-80.617862541162893</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5">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1.0049039827387332</v>
      </c>
      <c r="N246" s="585">
        <f t="shared" si="110"/>
        <v>-9.8833449557088407E-2</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5.9534726405771341</v>
      </c>
      <c r="X246" s="590">
        <f t="shared" si="116"/>
        <v>-111.28125964193467</v>
      </c>
      <c r="Y246" s="593">
        <f t="shared" si="117"/>
        <v>68.718740358065332</v>
      </c>
      <c r="AA246" s="150">
        <f t="shared" si="118"/>
        <v>1000000000</v>
      </c>
      <c r="AB246" s="150">
        <f t="shared" si="119"/>
        <v>221332567.5625</v>
      </c>
      <c r="AD246" s="592">
        <f t="shared" si="120"/>
        <v>27.614385009016193</v>
      </c>
      <c r="AE246" s="593">
        <f t="shared" si="121"/>
        <v>-9.3689505414841072</v>
      </c>
      <c r="AG246" s="592">
        <f t="shared" si="122"/>
        <v>3.9322103954856162</v>
      </c>
      <c r="AH246" s="593">
        <f t="shared" si="123"/>
        <v>-80.609652397320332</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5">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1.004960867923391</v>
      </c>
      <c r="N247" s="585">
        <f t="shared" si="110"/>
        <v>-9.9402674606249963E-2</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5.9021779797237972</v>
      </c>
      <c r="X247" s="590">
        <f t="shared" si="116"/>
        <v>-111.39040705157301</v>
      </c>
      <c r="Y247" s="593">
        <f t="shared" si="117"/>
        <v>68.609592948426993</v>
      </c>
      <c r="AA247" s="150">
        <f t="shared" si="118"/>
        <v>1000000000</v>
      </c>
      <c r="AB247" s="150">
        <f t="shared" si="119"/>
        <v>223906332.25</v>
      </c>
      <c r="AD247" s="592">
        <f t="shared" si="120"/>
        <v>27.613710528824011</v>
      </c>
      <c r="AE247" s="593">
        <f t="shared" si="121"/>
        <v>-9.3644528642590483</v>
      </c>
      <c r="AG247" s="592">
        <f t="shared" si="122"/>
        <v>3.8838710531453309</v>
      </c>
      <c r="AH247" s="593">
        <f t="shared" si="123"/>
        <v>-80.601187495361998</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5">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1.0050180786956888</v>
      </c>
      <c r="N248" s="585">
        <f t="shared" si="110"/>
        <v>-9.9971835033406134E-2</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5.8511694712433844</v>
      </c>
      <c r="X248" s="590">
        <f t="shared" si="116"/>
        <v>-111.49961103791465</v>
      </c>
      <c r="Y248" s="593">
        <f t="shared" si="117"/>
        <v>68.500388962085353</v>
      </c>
      <c r="AA248" s="150">
        <f t="shared" si="118"/>
        <v>1000000000</v>
      </c>
      <c r="AB248" s="150">
        <f t="shared" si="119"/>
        <v>226494975.0625</v>
      </c>
      <c r="AD248" s="592">
        <f t="shared" si="120"/>
        <v>27.613041157196122</v>
      </c>
      <c r="AE248" s="593">
        <f t="shared" si="121"/>
        <v>-9.3602856656398412</v>
      </c>
      <c r="AG248" s="592">
        <f t="shared" si="122"/>
        <v>3.8358253849470052</v>
      </c>
      <c r="AH248" s="593">
        <f t="shared" si="123"/>
        <v>-80.592472368023891</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5">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1.0050756150000275</v>
      </c>
      <c r="N249" s="585">
        <f t="shared" si="110"/>
        <v>-0.10054093048087197</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5.8004437604561945</v>
      </c>
      <c r="X249" s="590">
        <f t="shared" si="116"/>
        <v>-111.6088702803943</v>
      </c>
      <c r="Y249" s="593">
        <f t="shared" si="117"/>
        <v>68.391129719605701</v>
      </c>
      <c r="AA249" s="150">
        <f t="shared" si="118"/>
        <v>1000000000</v>
      </c>
      <c r="AB249" s="150">
        <f t="shared" si="119"/>
        <v>229098496</v>
      </c>
      <c r="AD249" s="592">
        <f t="shared" si="120"/>
        <v>27.612376742829756</v>
      </c>
      <c r="AE249" s="593">
        <f t="shared" si="121"/>
        <v>-9.3564433178828121</v>
      </c>
      <c r="AG249" s="592">
        <f t="shared" si="122"/>
        <v>3.7880701782134278</v>
      </c>
      <c r="AH249" s="593">
        <f t="shared" si="123"/>
        <v>-80.583511446372654</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5">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1.0051346541561805</v>
      </c>
      <c r="N250" s="585">
        <f t="shared" si="110"/>
        <v>-0.10112150545090379</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5.7489768746929579</v>
      </c>
      <c r="X250" s="590">
        <f t="shared" si="116"/>
        <v>-111.72040198433236</v>
      </c>
      <c r="Y250" s="593">
        <f t="shared" si="117"/>
        <v>68.279598015667645</v>
      </c>
      <c r="AA250" s="150">
        <f t="shared" si="118"/>
        <v>1000000000</v>
      </c>
      <c r="AB250" s="150">
        <f t="shared" si="119"/>
        <v>231770176</v>
      </c>
      <c r="AD250" s="592">
        <f t="shared" si="120"/>
        <v>27.611703804187968</v>
      </c>
      <c r="AE250" s="593">
        <f t="shared" si="121"/>
        <v>-9.3528521056348612</v>
      </c>
      <c r="AG250" s="592">
        <f t="shared" si="122"/>
        <v>3.7396421090568133</v>
      </c>
      <c r="AH250" s="593">
        <f t="shared" si="123"/>
        <v>-80.574119877996296</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5">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1.0051940320704886</v>
      </c>
      <c r="N251" s="585">
        <f t="shared" si="110"/>
        <v>-0.10170201202618527</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5.6977975063970856</v>
      </c>
      <c r="X251" s="590">
        <f t="shared" si="116"/>
        <v>-111.8319885175702</v>
      </c>
      <c r="Y251" s="593">
        <f t="shared" si="117"/>
        <v>68.168011482429804</v>
      </c>
      <c r="AA251" s="150">
        <f t="shared" si="118"/>
        <v>1000000000</v>
      </c>
      <c r="AB251" s="150">
        <f t="shared" si="119"/>
        <v>234457344</v>
      </c>
      <c r="AD251" s="592">
        <f t="shared" si="120"/>
        <v>27.611035721173558</v>
      </c>
      <c r="AE251" s="593">
        <f t="shared" si="121"/>
        <v>-9.3495876205699471</v>
      </c>
      <c r="AG251" s="592">
        <f t="shared" si="122"/>
        <v>3.6915098204235863</v>
      </c>
      <c r="AH251" s="593">
        <f t="shared" si="123"/>
        <v>-80.564481447648348</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5">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1.0052537486829232</v>
      </c>
      <c r="N252" s="585">
        <f t="shared" si="110"/>
        <v>-0.10228244982762363</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5.6469022746740603</v>
      </c>
      <c r="X252" s="590">
        <f t="shared" si="116"/>
        <v>-111.94362856242857</v>
      </c>
      <c r="Y252" s="593">
        <f t="shared" si="117"/>
        <v>68.056371437571428</v>
      </c>
      <c r="AA252" s="150">
        <f t="shared" si="118"/>
        <v>1000000000</v>
      </c>
      <c r="AB252" s="150">
        <f t="shared" si="119"/>
        <v>237160000</v>
      </c>
      <c r="AD252" s="592">
        <f t="shared" si="120"/>
        <v>27.610372346314279</v>
      </c>
      <c r="AE252" s="593">
        <f t="shared" si="121"/>
        <v>-9.3466442787772728</v>
      </c>
      <c r="AG252" s="592">
        <f t="shared" si="122"/>
        <v>3.6436700688677517</v>
      </c>
      <c r="AH252" s="593">
        <f t="shared" si="123"/>
        <v>-80.55460055247363</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5">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1.0053138039331271</v>
      </c>
      <c r="N253" s="585">
        <f t="shared" si="110"/>
        <v>-0.10286281847640123</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5.596287857159111</v>
      </c>
      <c r="X253" s="590">
        <f t="shared" si="116"/>
        <v>-112.05532082828172</v>
      </c>
      <c r="Y253" s="593">
        <f t="shared" si="117"/>
        <v>67.944679171718278</v>
      </c>
      <c r="AA253" s="150">
        <f t="shared" si="118"/>
        <v>1000000000</v>
      </c>
      <c r="AB253" s="150">
        <f t="shared" si="119"/>
        <v>239878144</v>
      </c>
      <c r="AD253" s="592">
        <f t="shared" si="120"/>
        <v>27.609713536296326</v>
      </c>
      <c r="AE253" s="593">
        <f t="shared" si="121"/>
        <v>-9.3440166214824245</v>
      </c>
      <c r="AG253" s="592">
        <f t="shared" si="122"/>
        <v>3.5961196652661576</v>
      </c>
      <c r="AH253" s="593">
        <f t="shared" si="123"/>
        <v>-80.544481491305334</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5">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1.0053757463593025</v>
      </c>
      <c r="N254" s="585">
        <f t="shared" si="110"/>
        <v>-0.10345795387235446</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5.5446675768728104</v>
      </c>
      <c r="X254" s="590">
        <f t="shared" si="116"/>
        <v>-112.16992177892621</v>
      </c>
      <c r="Y254" s="593">
        <f t="shared" si="117"/>
        <v>67.830078221073791</v>
      </c>
      <c r="AA254" s="150">
        <f t="shared" si="118"/>
        <v>1000000000</v>
      </c>
      <c r="AB254" s="150">
        <f t="shared" si="119"/>
        <v>242681873.0625</v>
      </c>
      <c r="AD254" s="592">
        <f t="shared" si="120"/>
        <v>27.609042477220083</v>
      </c>
      <c r="AE254" s="593">
        <f t="shared" si="121"/>
        <v>-9.3416440846643045</v>
      </c>
      <c r="AG254" s="592">
        <f t="shared" si="122"/>
        <v>3.5476507392691166</v>
      </c>
      <c r="AH254" s="593">
        <f t="shared" si="123"/>
        <v>-80.533860728526776</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5">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1.0054380448316831</v>
      </c>
      <c r="N255" s="585">
        <f t="shared" si="110"/>
        <v>-0.10405301572805778</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5.4933357591003871</v>
      </c>
      <c r="X255" s="590">
        <f t="shared" si="116"/>
        <v>-112.28457498961455</v>
      </c>
      <c r="Y255" s="593">
        <f t="shared" si="117"/>
        <v>67.715425010385445</v>
      </c>
      <c r="AA255" s="150">
        <f t="shared" si="118"/>
        <v>1000000000</v>
      </c>
      <c r="AB255" s="150">
        <f t="shared" si="119"/>
        <v>245501892.25</v>
      </c>
      <c r="AD255" s="592">
        <f t="shared" si="120"/>
        <v>27.608375926895476</v>
      </c>
      <c r="AE255" s="593">
        <f t="shared" si="121"/>
        <v>-9.3395923407996921</v>
      </c>
      <c r="AG255" s="592">
        <f t="shared" si="122"/>
        <v>3.4994795223832842</v>
      </c>
      <c r="AH255" s="593">
        <f t="shared" si="123"/>
        <v>-80.522998318190602</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5">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1.0055006992840896</v>
      </c>
      <c r="N256" s="585">
        <f t="shared" si="110"/>
        <v>-0.10464800363579853</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5.4422890031628137</v>
      </c>
      <c r="X256" s="590">
        <f t="shared" si="116"/>
        <v>-112.39927915208906</v>
      </c>
      <c r="Y256" s="593">
        <f t="shared" si="117"/>
        <v>67.600720847910935</v>
      </c>
      <c r="AA256" s="150">
        <f t="shared" si="118"/>
        <v>1000000000</v>
      </c>
      <c r="AB256" s="150">
        <f t="shared" si="119"/>
        <v>248338201.5625</v>
      </c>
      <c r="AD256" s="592">
        <f t="shared" si="120"/>
        <v>27.607713743462568</v>
      </c>
      <c r="AE256" s="593">
        <f t="shared" si="121"/>
        <v>-9.3378558891710473</v>
      </c>
      <c r="AG256" s="592">
        <f t="shared" si="122"/>
        <v>3.4516027447659257</v>
      </c>
      <c r="AH256" s="593">
        <f t="shared" si="123"/>
        <v>-80.51189859297169</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5">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1.005563709649981</v>
      </c>
      <c r="N257" s="585">
        <f t="shared" si="110"/>
        <v>-0.10524291718817481</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5.3915239673657407</v>
      </c>
      <c r="X257" s="590">
        <f t="shared" si="116"/>
        <v>-112.51403298489576</v>
      </c>
      <c r="Y257" s="593">
        <f t="shared" si="117"/>
        <v>67.485967015104237</v>
      </c>
      <c r="AA257" s="150">
        <f t="shared" si="118"/>
        <v>1000000000</v>
      </c>
      <c r="AB257" s="150">
        <f t="shared" si="119"/>
        <v>251190801</v>
      </c>
      <c r="AD257" s="592">
        <f t="shared" si="120"/>
        <v>27.607055789073303</v>
      </c>
      <c r="AE257" s="593">
        <f t="shared" si="121"/>
        <v>-9.3364293526545836</v>
      </c>
      <c r="AG257" s="592">
        <f t="shared" si="122"/>
        <v>3.4040171914935291</v>
      </c>
      <c r="AH257" s="593">
        <f t="shared" si="123"/>
        <v>-80.500565788498093</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5">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1.0056284841296133</v>
      </c>
      <c r="N258" s="585">
        <f t="shared" si="110"/>
        <v>-0.10585093715128581</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5.3399216798169071</v>
      </c>
      <c r="X258" s="590">
        <f t="shared" si="116"/>
        <v>-112.63137986569387</v>
      </c>
      <c r="Y258" s="593">
        <f t="shared" si="117"/>
        <v>67.368620134306127</v>
      </c>
      <c r="AA258" s="150">
        <f t="shared" si="118"/>
        <v>1000000000</v>
      </c>
      <c r="AB258" s="150">
        <f t="shared" si="119"/>
        <v>254123451.5625</v>
      </c>
      <c r="AD258" s="592">
        <f t="shared" si="120"/>
        <v>27.606387485178942</v>
      </c>
      <c r="AE258" s="593">
        <f t="shared" si="121"/>
        <v>-9.3352860237654092</v>
      </c>
      <c r="AG258" s="592">
        <f t="shared" si="122"/>
        <v>3.3556747962534796</v>
      </c>
      <c r="AH258" s="593">
        <f t="shared" si="123"/>
        <v>-80.488745268334043</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5">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1.0056936303303359</v>
      </c>
      <c r="N259" s="585">
        <f t="shared" si="110"/>
        <v>-0.10645887856723829</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5.2886068594748785</v>
      </c>
      <c r="X259" s="590">
        <f t="shared" si="116"/>
        <v>-112.74877601782131</v>
      </c>
      <c r="Y259" s="593">
        <f t="shared" si="117"/>
        <v>67.251223982178686</v>
      </c>
      <c r="AA259" s="150">
        <f t="shared" si="118"/>
        <v>1000000000</v>
      </c>
      <c r="AB259" s="150">
        <f t="shared" si="119"/>
        <v>257073122.25</v>
      </c>
      <c r="AD259" s="592">
        <f t="shared" si="120"/>
        <v>27.60572332085097</v>
      </c>
      <c r="AE259" s="593">
        <f t="shared" si="121"/>
        <v>-9.3344555177484914</v>
      </c>
      <c r="AG259" s="592">
        <f t="shared" si="122"/>
        <v>3.3076300537492536</v>
      </c>
      <c r="AH259" s="593">
        <f t="shared" si="123"/>
        <v>-80.476689874383354</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5">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1.0057591481799164</v>
      </c>
      <c r="N260" s="585">
        <f t="shared" si="110"/>
        <v>-0.10706674100195786</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5.2375761199001243</v>
      </c>
      <c r="X260" s="590">
        <f t="shared" si="116"/>
        <v>-112.86622015489999</v>
      </c>
      <c r="Y260" s="593">
        <f t="shared" si="117"/>
        <v>67.133779845100008</v>
      </c>
      <c r="AA260" s="150">
        <f t="shared" si="118"/>
        <v>1000000000</v>
      </c>
      <c r="AB260" s="150">
        <f t="shared" si="119"/>
        <v>260039813.0625</v>
      </c>
      <c r="AD260" s="592">
        <f t="shared" si="120"/>
        <v>27.605063161010534</v>
      </c>
      <c r="AE260" s="593">
        <f t="shared" si="121"/>
        <v>-9.3339324703343021</v>
      </c>
      <c r="AG260" s="592">
        <f t="shared" si="122"/>
        <v>3.2598797006186304</v>
      </c>
      <c r="AH260" s="593">
        <f t="shared" si="123"/>
        <v>-80.464403833170678</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5">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1.0058250376057285</v>
      </c>
      <c r="N261" s="585">
        <f t="shared" si="110"/>
        <v>-0.10767452402171636</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5.1868261333096486</v>
      </c>
      <c r="X261" s="590">
        <f t="shared" si="116"/>
        <v>-112.98371101675197</v>
      </c>
      <c r="Y261" s="593">
        <f t="shared" si="117"/>
        <v>67.016288983248032</v>
      </c>
      <c r="AA261" s="150">
        <f t="shared" si="118"/>
        <v>1000000000</v>
      </c>
      <c r="AB261" s="150">
        <f t="shared" si="119"/>
        <v>263023524</v>
      </c>
      <c r="AD261" s="592">
        <f t="shared" si="120"/>
        <v>27.6044068743977</v>
      </c>
      <c r="AE261" s="593">
        <f t="shared" si="121"/>
        <v>-9.3337116376926659</v>
      </c>
      <c r="AG261" s="592">
        <f t="shared" si="122"/>
        <v>3.2124205282798428</v>
      </c>
      <c r="AH261" s="593">
        <f t="shared" si="123"/>
        <v>-80.451891276697793</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5">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1.0058929192953836</v>
      </c>
      <c r="N262" s="585">
        <f t="shared" si="110"/>
        <v>-0.10829704822054317</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5.1351260318024705</v>
      </c>
      <c r="X262" s="590">
        <f t="shared" si="116"/>
        <v>-113.10411466701873</v>
      </c>
      <c r="Y262" s="593">
        <f t="shared" si="117"/>
        <v>66.895885332981265</v>
      </c>
      <c r="AA262" s="150">
        <f t="shared" si="118"/>
        <v>1000000000</v>
      </c>
      <c r="AB262" s="150">
        <f t="shared" si="119"/>
        <v>266097656.25</v>
      </c>
      <c r="AD262" s="592">
        <f t="shared" si="120"/>
        <v>27.603738463550613</v>
      </c>
      <c r="AE262" s="593">
        <f t="shared" si="121"/>
        <v>-9.3337934218623211</v>
      </c>
      <c r="AG262" s="592">
        <f t="shared" si="122"/>
        <v>3.1641024378621232</v>
      </c>
      <c r="AH262" s="593">
        <f t="shared" si="123"/>
        <v>-80.438842888764242</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5">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1.0059611907524397</v>
      </c>
      <c r="N263" s="585">
        <f t="shared" si="110"/>
        <v>-0.10891948816299878</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5.083713659108497</v>
      </c>
      <c r="X263" s="590">
        <f t="shared" si="116"/>
        <v>-113.22456475329204</v>
      </c>
      <c r="Y263" s="593">
        <f t="shared" si="117"/>
        <v>66.775435246707957</v>
      </c>
      <c r="AA263" s="150">
        <f t="shared" si="118"/>
        <v>1000000000</v>
      </c>
      <c r="AB263" s="150">
        <f t="shared" si="119"/>
        <v>269189649</v>
      </c>
      <c r="AD263" s="592">
        <f t="shared" si="120"/>
        <v>27.603073850067823</v>
      </c>
      <c r="AE263" s="593">
        <f t="shared" si="121"/>
        <v>-9.3341815760882767</v>
      </c>
      <c r="AG263" s="592">
        <f t="shared" si="122"/>
        <v>3.1160832602460218</v>
      </c>
      <c r="AH263" s="593">
        <f t="shared" si="123"/>
        <v>-80.425565286381598</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5">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1.006029851897545</v>
      </c>
      <c r="N264" s="585">
        <f t="shared" si="110"/>
        <v>-0.10954184338398029</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5.0325856207213349</v>
      </c>
      <c r="X264" s="590">
        <f t="shared" si="116"/>
        <v>-113.34506000185657</v>
      </c>
      <c r="Y264" s="593">
        <f t="shared" si="117"/>
        <v>66.654939998143433</v>
      </c>
      <c r="AA264" s="150">
        <f t="shared" si="118"/>
        <v>1000000000</v>
      </c>
      <c r="AB264" s="150">
        <f t="shared" si="119"/>
        <v>272299502.25</v>
      </c>
      <c r="AD264" s="592">
        <f t="shared" si="120"/>
        <v>27.602412904491658</v>
      </c>
      <c r="AE264" s="593">
        <f t="shared" si="121"/>
        <v>-9.3348708348898839</v>
      </c>
      <c r="AG264" s="592">
        <f t="shared" si="122"/>
        <v>3.0683597172336525</v>
      </c>
      <c r="AH264" s="593">
        <f t="shared" si="123"/>
        <v>-80.412062619847944</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5">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1.0060989026509173</v>
      </c>
      <c r="N265" s="585">
        <f t="shared" si="110"/>
        <v>-0.110164113418774</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4.981738580978786</v>
      </c>
      <c r="X265" s="590">
        <f t="shared" si="116"/>
        <v>-113.46559916483021</v>
      </c>
      <c r="Y265" s="593">
        <f t="shared" si="117"/>
        <v>66.534400835169791</v>
      </c>
      <c r="AA265" s="150">
        <f t="shared" si="118"/>
        <v>1000000000</v>
      </c>
      <c r="AB265" s="150">
        <f t="shared" si="119"/>
        <v>275427216</v>
      </c>
      <c r="AD265" s="592">
        <f t="shared" si="120"/>
        <v>27.601755501031331</v>
      </c>
      <c r="AE265" s="593">
        <f t="shared" si="121"/>
        <v>-9.335856051171211</v>
      </c>
      <c r="AG265" s="592">
        <f t="shared" si="122"/>
        <v>3.0209285857419848</v>
      </c>
      <c r="AH265" s="593">
        <f t="shared" si="123"/>
        <v>-80.398338946592276</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5">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1.0061698167765702</v>
      </c>
      <c r="N266" s="585">
        <f t="shared" si="110"/>
        <v>-0.11079946479761923</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4.9301019890511686</v>
      </c>
      <c r="X266" s="590">
        <f t="shared" si="116"/>
        <v>-113.5887334689445</v>
      </c>
      <c r="Y266" s="593">
        <f t="shared" si="117"/>
        <v>66.411266531055503</v>
      </c>
      <c r="AA266" s="150">
        <f t="shared" si="118"/>
        <v>1000000000</v>
      </c>
      <c r="AB266" s="150">
        <f t="shared" si="119"/>
        <v>278639556.25</v>
      </c>
      <c r="AD266" s="592">
        <f t="shared" si="120"/>
        <v>27.601087712601124</v>
      </c>
      <c r="AE266" s="593">
        <f t="shared" si="121"/>
        <v>-9.3371623089191029</v>
      </c>
      <c r="AG266" s="592">
        <f t="shared" si="122"/>
        <v>2.9727920873966491</v>
      </c>
      <c r="AH266" s="593">
        <f t="shared" si="123"/>
        <v>-80.384100875310835</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5">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1.0062411370068323</v>
      </c>
      <c r="N267" s="585">
        <f t="shared" si="110"/>
        <v>-0.11143472636816408</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4.8787515672641728</v>
      </c>
      <c r="X267" s="590">
        <f t="shared" si="116"/>
        <v>-113.71191101525055</v>
      </c>
      <c r="Y267" s="593">
        <f t="shared" si="117"/>
        <v>66.28808898474945</v>
      </c>
      <c r="AA267" s="150">
        <f t="shared" si="118"/>
        <v>1000000000</v>
      </c>
      <c r="AB267" s="150">
        <f t="shared" si="119"/>
        <v>281870521</v>
      </c>
      <c r="AD267" s="592">
        <f t="shared" si="120"/>
        <v>27.600423363850929</v>
      </c>
      <c r="AE267" s="593">
        <f t="shared" si="121"/>
        <v>-9.3387666991936147</v>
      </c>
      <c r="AG267" s="592">
        <f t="shared" si="122"/>
        <v>2.9249538861748867</v>
      </c>
      <c r="AH267" s="593">
        <f t="shared" si="123"/>
        <v>-80.369640610086734</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5">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1.0063128632553586</v>
      </c>
      <c r="N268" s="585">
        <f t="shared" si="110"/>
        <v>-0.11206989763682933</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4.8276839449881646</v>
      </c>
      <c r="X268" s="590">
        <f t="shared" si="116"/>
        <v>-113.83513055387282</v>
      </c>
      <c r="Y268" s="593">
        <f t="shared" si="117"/>
        <v>66.164869446127184</v>
      </c>
      <c r="AA268" s="150">
        <f t="shared" si="118"/>
        <v>1000000000</v>
      </c>
      <c r="AB268" s="150">
        <f t="shared" si="119"/>
        <v>285120110.25</v>
      </c>
      <c r="AD268" s="592">
        <f t="shared" si="120"/>
        <v>27.599762331889387</v>
      </c>
      <c r="AE268" s="593">
        <f t="shared" si="121"/>
        <v>-9.340664102252358</v>
      </c>
      <c r="AG268" s="592">
        <f t="shared" si="122"/>
        <v>2.8774107200699568</v>
      </c>
      <c r="AH268" s="593">
        <f t="shared" si="123"/>
        <v>-80.354962188221762</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5">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1.0063849954353368</v>
      </c>
      <c r="N269" s="585">
        <f t="shared" ref="N269:N332" si="142">-ATAN(G269/z_RHP)</f>
        <v>-0.1127049781104676</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4.7768958098911245</v>
      </c>
      <c r="X269" s="590">
        <f t="shared" ref="X269:X332" si="148">((L269+R269+N269+V269)-(J269+P269+T269))*radconv</f>
        <v>-113.95839086008829</v>
      </c>
      <c r="Y269" s="593">
        <f t="shared" ref="Y269:Y332" si="149">IF(X269&gt;0,X269,X269+180)</f>
        <v>66.041609139911714</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2.83015938182912</v>
      </c>
      <c r="AH269" s="593">
        <f t="shared" ref="AH269:AH332" si="155">(L269+N269-(J269+V269))*radconv</f>
        <v>-80.340069556913562</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5">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1.0064594180753674</v>
      </c>
      <c r="N270" s="585">
        <f t="shared" si="142"/>
        <v>-0.11335641657587273</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4.7250789500680472</v>
      </c>
      <c r="X270" s="590">
        <f t="shared" si="148"/>
        <v>-114.0848855460854</v>
      </c>
      <c r="Y270" s="593">
        <f t="shared" si="149"/>
        <v>65.915114453914597</v>
      </c>
      <c r="AA270" s="150">
        <f t="shared" si="150"/>
        <v>1000000000</v>
      </c>
      <c r="AB270" s="150">
        <f t="shared" si="151"/>
        <v>291760561</v>
      </c>
      <c r="AD270" s="592">
        <f t="shared" si="152"/>
        <v>27.598432821443012</v>
      </c>
      <c r="AE270" s="593">
        <f t="shared" si="153"/>
        <v>-9.3453857096443027</v>
      </c>
      <c r="AG270" s="592">
        <f t="shared" si="154"/>
        <v>2.7819838766365783</v>
      </c>
      <c r="AH270" s="593">
        <f t="shared" si="155"/>
        <v>-80.324572545563711</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5">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1.0065342677654021</v>
      </c>
      <c r="N271" s="585">
        <f t="shared" si="142"/>
        <v>-0.11400775843080517</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4.6735493661098051</v>
      </c>
      <c r="X271" s="590">
        <f t="shared" si="148"/>
        <v>-114.21142060626717</v>
      </c>
      <c r="Y271" s="593">
        <f t="shared" si="149"/>
        <v>65.788579393732832</v>
      </c>
      <c r="AA271" s="150">
        <f t="shared" si="150"/>
        <v>1000000000</v>
      </c>
      <c r="AB271" s="150">
        <f t="shared" si="151"/>
        <v>295152400</v>
      </c>
      <c r="AD271" s="592">
        <f t="shared" si="152"/>
        <v>27.597764266882329</v>
      </c>
      <c r="AE271" s="593">
        <f t="shared" si="153"/>
        <v>-9.348214715877404</v>
      </c>
      <c r="AG271" s="592">
        <f t="shared" si="154"/>
        <v>2.7341088487977903</v>
      </c>
      <c r="AH271" s="593">
        <f t="shared" si="155"/>
        <v>-80.308858218191943</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5">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1.0066095444101768</v>
      </c>
      <c r="N272" s="585">
        <f t="shared" si="142"/>
        <v>-0.11465900314421958</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4.6223036641204702</v>
      </c>
      <c r="X272" s="590">
        <f t="shared" si="148"/>
        <v>-114.33799479633893</v>
      </c>
      <c r="Y272" s="593">
        <f t="shared" si="149"/>
        <v>65.662005203661067</v>
      </c>
      <c r="AA272" s="150">
        <f t="shared" si="150"/>
        <v>1000000000</v>
      </c>
      <c r="AB272" s="150">
        <f t="shared" si="151"/>
        <v>298563841</v>
      </c>
      <c r="AD272" s="592">
        <f t="shared" si="152"/>
        <v>27.597098715337186</v>
      </c>
      <c r="AE272" s="593">
        <f t="shared" si="153"/>
        <v>-9.351331484213393</v>
      </c>
      <c r="AG272" s="592">
        <f t="shared" si="154"/>
        <v>2.6865310070031905</v>
      </c>
      <c r="AH272" s="593">
        <f t="shared" si="155"/>
        <v>-80.292930557489868</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5">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1.0066852479139128</v>
      </c>
      <c r="N273" s="585">
        <f t="shared" si="142"/>
        <v>-0.11531015018555858</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4.571338509042258</v>
      </c>
      <c r="X273" s="590">
        <f t="shared" si="148"/>
        <v>-114.46460689695317</v>
      </c>
      <c r="Y273" s="593">
        <f t="shared" si="149"/>
        <v>65.535393103046829</v>
      </c>
      <c r="AA273" s="150">
        <f t="shared" si="150"/>
        <v>1000000000</v>
      </c>
      <c r="AB273" s="150">
        <f t="shared" si="151"/>
        <v>301994884</v>
      </c>
      <c r="AD273" s="592">
        <f t="shared" si="152"/>
        <v>27.596436051882968</v>
      </c>
      <c r="AE273" s="593">
        <f t="shared" si="153"/>
        <v>-9.3547310805116304</v>
      </c>
      <c r="AG273" s="592">
        <f t="shared" si="154"/>
        <v>2.6392471153500985</v>
      </c>
      <c r="AH273" s="593">
        <f t="shared" si="155"/>
        <v>-80.276793457094456</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5">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1.0067631133726798</v>
      </c>
      <c r="N274" s="585">
        <f t="shared" si="142"/>
        <v>-0.11597599444383618</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4.5195018229494819</v>
      </c>
      <c r="X274" s="590">
        <f t="shared" si="148"/>
        <v>-114.59413451269239</v>
      </c>
      <c r="Y274" s="593">
        <f t="shared" si="149"/>
        <v>65.405865487307608</v>
      </c>
      <c r="AA274" s="150">
        <f t="shared" si="150"/>
        <v>1000000000</v>
      </c>
      <c r="AB274" s="150">
        <f t="shared" si="151"/>
        <v>305524180.5625</v>
      </c>
      <c r="AD274" s="592">
        <f t="shared" si="152"/>
        <v>27.595761198818266</v>
      </c>
      <c r="AE274" s="593">
        <f t="shared" si="153"/>
        <v>-9.3584954566635297</v>
      </c>
      <c r="AG274" s="592">
        <f t="shared" si="154"/>
        <v>2.5911893212414991</v>
      </c>
      <c r="AH274" s="593">
        <f t="shared" si="155"/>
        <v>-80.260076937827634</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5">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1.0068414251092868</v>
      </c>
      <c r="N275" s="585">
        <f t="shared" si="142"/>
        <v>-0.11664173541901321</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4.467951707393313</v>
      </c>
      <c r="X275" s="590">
        <f t="shared" si="148"/>
        <v>-114.72369927894447</v>
      </c>
      <c r="Y275" s="593">
        <f t="shared" si="149"/>
        <v>65.276300721055534</v>
      </c>
      <c r="AA275" s="150">
        <f t="shared" si="150"/>
        <v>1000000000</v>
      </c>
      <c r="AB275" s="150">
        <f t="shared" si="151"/>
        <v>309073980.25</v>
      </c>
      <c r="AD275" s="592">
        <f t="shared" si="152"/>
        <v>27.595089133736334</v>
      </c>
      <c r="AE275" s="593">
        <f t="shared" si="153"/>
        <v>-9.3625455736097827</v>
      </c>
      <c r="AG275" s="592">
        <f t="shared" si="154"/>
        <v>2.5434323163414381</v>
      </c>
      <c r="AH275" s="593">
        <f t="shared" si="155"/>
        <v>-80.243149314060489</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5">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1.0069201830196077</v>
      </c>
      <c r="N276" s="585">
        <f t="shared" si="142"/>
        <v>-0.11730737254512938</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4.4166847770081867</v>
      </c>
      <c r="X276" s="590">
        <f t="shared" si="148"/>
        <v>-114.85329996793739</v>
      </c>
      <c r="Y276" s="593">
        <f t="shared" si="149"/>
        <v>65.146700032062611</v>
      </c>
      <c r="AA276" s="150">
        <f t="shared" si="150"/>
        <v>1000000000</v>
      </c>
      <c r="AB276" s="150">
        <f t="shared" si="151"/>
        <v>312644283.0625</v>
      </c>
      <c r="AD276" s="592">
        <f t="shared" si="152"/>
        <v>27.594419743876276</v>
      </c>
      <c r="AE276" s="593">
        <f t="shared" si="153"/>
        <v>-9.3668765014389912</v>
      </c>
      <c r="AG276" s="592">
        <f t="shared" si="154"/>
        <v>2.4959728109407351</v>
      </c>
      <c r="AH276" s="593">
        <f t="shared" si="155"/>
        <v>-80.226014477950258</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5">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1.0069993869989564</v>
      </c>
      <c r="N277" s="585">
        <f t="shared" si="142"/>
        <v>-0.1179729052567691</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4.3656977050765002</v>
      </c>
      <c r="X277" s="590">
        <f t="shared" si="148"/>
        <v>-114.98293537633205</v>
      </c>
      <c r="Y277" s="593">
        <f t="shared" si="149"/>
        <v>65.017064623667949</v>
      </c>
      <c r="AA277" s="150">
        <f t="shared" si="150"/>
        <v>1000000000</v>
      </c>
      <c r="AB277" s="150">
        <f t="shared" si="151"/>
        <v>316235089</v>
      </c>
      <c r="AD277" s="592">
        <f t="shared" si="152"/>
        <v>27.593752919680178</v>
      </c>
      <c r="AE277" s="593">
        <f t="shared" si="153"/>
        <v>-9.3714834211504883</v>
      </c>
      <c r="AG277" s="592">
        <f t="shared" si="154"/>
        <v>2.448807570696792</v>
      </c>
      <c r="AH277" s="593">
        <f t="shared" si="155"/>
        <v>-80.208676234735549</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5">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1.0070808120052812</v>
      </c>
      <c r="N278" s="585">
        <f t="shared" si="142"/>
        <v>-0.11865311907532443</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4.3138634393633062</v>
      </c>
      <c r="X278" s="590">
        <f t="shared" si="148"/>
        <v>-115.1154862287913</v>
      </c>
      <c r="Y278" s="593">
        <f t="shared" si="149"/>
        <v>64.884513771208702</v>
      </c>
      <c r="AA278" s="150">
        <f t="shared" si="150"/>
        <v>1000000000</v>
      </c>
      <c r="AB278" s="150">
        <f t="shared" si="151"/>
        <v>319926882.25</v>
      </c>
      <c r="AD278" s="592">
        <f t="shared" si="152"/>
        <v>27.593073818152867</v>
      </c>
      <c r="AE278" s="593">
        <f t="shared" si="153"/>
        <v>-9.3764730717561626</v>
      </c>
      <c r="AG278" s="592">
        <f t="shared" si="154"/>
        <v>2.4008950496099812</v>
      </c>
      <c r="AH278" s="593">
        <f t="shared" si="155"/>
        <v>-80.190746333372161</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5">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1.0071627029032029</v>
      </c>
      <c r="N279" s="585">
        <f t="shared" si="142"/>
        <v>-0.11933322259417181</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4.2623147605488256</v>
      </c>
      <c r="X279" s="590">
        <f t="shared" si="148"/>
        <v>-115.24807089339572</v>
      </c>
      <c r="Y279" s="593">
        <f t="shared" si="149"/>
        <v>64.75192910660428</v>
      </c>
      <c r="AA279" s="150">
        <f t="shared" si="150"/>
        <v>1000000000</v>
      </c>
      <c r="AB279" s="150">
        <f t="shared" si="151"/>
        <v>323640100</v>
      </c>
      <c r="AD279" s="592">
        <f t="shared" si="152"/>
        <v>27.592397175861883</v>
      </c>
      <c r="AE279" s="593">
        <f t="shared" si="153"/>
        <v>-9.3817412751982232</v>
      </c>
      <c r="AG279" s="592">
        <f t="shared" si="154"/>
        <v>2.3532833547021665</v>
      </c>
      <c r="AH279" s="593">
        <f t="shared" si="155"/>
        <v>-80.172611657472785</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5">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1.0072450595790881</v>
      </c>
      <c r="N280" s="585">
        <f t="shared" si="142"/>
        <v>-0.12001321521113979</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4.2110482965662817</v>
      </c>
      <c r="X280" s="590">
        <f t="shared" si="148"/>
        <v>-115.38068815970351</v>
      </c>
      <c r="Y280" s="593">
        <f t="shared" si="149"/>
        <v>64.61931184029649</v>
      </c>
      <c r="AA280" s="150">
        <f t="shared" si="150"/>
        <v>1000000000</v>
      </c>
      <c r="AB280" s="150">
        <f t="shared" si="151"/>
        <v>327374742.25</v>
      </c>
      <c r="AD280" s="592">
        <f t="shared" si="152"/>
        <v>27.591722885474045</v>
      </c>
      <c r="AE280" s="593">
        <f t="shared" si="153"/>
        <v>-9.3872832235299626</v>
      </c>
      <c r="AG280" s="592">
        <f t="shared" si="154"/>
        <v>2.3059692026328609</v>
      </c>
      <c r="AH280" s="593">
        <f t="shared" si="155"/>
        <v>-80.154276005598078</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5">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1.0073278819186939</v>
      </c>
      <c r="N281" s="585">
        <f t="shared" si="142"/>
        <v>-0.12069309632466353</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4.1600607336990603</v>
      </c>
      <c r="X281" s="590">
        <f t="shared" si="148"/>
        <v>-115.51333684115957</v>
      </c>
      <c r="Y281" s="593">
        <f t="shared" si="149"/>
        <v>64.486663158840429</v>
      </c>
      <c r="AA281" s="150">
        <f t="shared" si="150"/>
        <v>1000000000</v>
      </c>
      <c r="AB281" s="150">
        <f t="shared" si="151"/>
        <v>331130809</v>
      </c>
      <c r="AD281" s="592">
        <f t="shared" si="152"/>
        <v>27.591050842705375</v>
      </c>
      <c r="AE281" s="593">
        <f t="shared" si="153"/>
        <v>-9.3930942168770564</v>
      </c>
      <c r="AG281" s="592">
        <f t="shared" si="154"/>
        <v>2.2589493652781472</v>
      </c>
      <c r="AH281" s="593">
        <f t="shared" si="155"/>
        <v>-80.135743091632989</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5">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1.007413187349335</v>
      </c>
      <c r="N282" s="585">
        <f t="shared" si="142"/>
        <v>-0.1213892834834383</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4.1081272723023332</v>
      </c>
      <c r="X282" s="590">
        <f t="shared" si="148"/>
        <v>-115.64922094421792</v>
      </c>
      <c r="Y282" s="593">
        <f t="shared" si="149"/>
        <v>64.350779055782084</v>
      </c>
      <c r="AA282" s="150">
        <f t="shared" si="150"/>
        <v>1000000000</v>
      </c>
      <c r="AB282" s="150">
        <f t="shared" si="151"/>
        <v>334999809</v>
      </c>
      <c r="AD282" s="592">
        <f t="shared" si="152"/>
        <v>27.59036479086387</v>
      </c>
      <c r="AE282" s="593">
        <f t="shared" si="153"/>
        <v>-9.399319643548198</v>
      </c>
      <c r="AG282" s="592">
        <f t="shared" si="154"/>
        <v>2.2110955309815217</v>
      </c>
      <c r="AH282" s="593">
        <f t="shared" si="155"/>
        <v>-80.116561849948909</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5">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1.0074989809667123</v>
      </c>
      <c r="N283" s="585">
        <f t="shared" si="142"/>
        <v>-0.12208535241184103</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4.0564794946505494</v>
      </c>
      <c r="X283" s="590">
        <f t="shared" si="148"/>
        <v>-115.78513555319991</v>
      </c>
      <c r="Y283" s="593">
        <f t="shared" si="149"/>
        <v>64.214864446800092</v>
      </c>
      <c r="AA283" s="150">
        <f t="shared" si="150"/>
        <v>1000000000</v>
      </c>
      <c r="AB283" s="150">
        <f t="shared" si="151"/>
        <v>338891281</v>
      </c>
      <c r="AD283" s="592">
        <f t="shared" si="152"/>
        <v>27.589680884490004</v>
      </c>
      <c r="AE283" s="593">
        <f t="shared" si="153"/>
        <v>-9.4058176256131159</v>
      </c>
      <c r="AG283" s="592">
        <f t="shared" si="154"/>
        <v>2.1635437197300873</v>
      </c>
      <c r="AH283" s="593">
        <f t="shared" si="155"/>
        <v>-80.09718132450115</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5">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1.0075852626461215</v>
      </c>
      <c r="N284" s="585">
        <f t="shared" si="142"/>
        <v>-0.12278130246565198</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4.0051140227363433</v>
      </c>
      <c r="X284" s="590">
        <f t="shared" si="148"/>
        <v>-115.92107946720216</v>
      </c>
      <c r="Y284" s="593">
        <f t="shared" si="149"/>
        <v>64.078920532797838</v>
      </c>
      <c r="AA284" s="150">
        <f t="shared" si="150"/>
        <v>1000000000</v>
      </c>
      <c r="AB284" s="150">
        <f t="shared" si="151"/>
        <v>342805225</v>
      </c>
      <c r="AD284" s="592">
        <f t="shared" si="152"/>
        <v>27.588999020847101</v>
      </c>
      <c r="AE284" s="593">
        <f t="shared" si="153"/>
        <v>-9.4125834473511105</v>
      </c>
      <c r="AG284" s="592">
        <f t="shared" si="154"/>
        <v>2.1162906359013043</v>
      </c>
      <c r="AH284" s="593">
        <f t="shared" si="155"/>
        <v>-80.077605243950671</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5">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1.0076720322621924</v>
      </c>
      <c r="N285" s="585">
        <f t="shared" si="142"/>
        <v>-0.12347713300133206</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3.954027537049285</v>
      </c>
      <c r="X285" s="590">
        <f t="shared" si="148"/>
        <v>-116.05705150885179</v>
      </c>
      <c r="Y285" s="593">
        <f t="shared" si="149"/>
        <v>63.942948491148215</v>
      </c>
      <c r="AA285" s="150">
        <f t="shared" si="150"/>
        <v>1000000000</v>
      </c>
      <c r="AB285" s="150">
        <f t="shared" si="151"/>
        <v>346741641</v>
      </c>
      <c r="AD285" s="592">
        <f t="shared" si="152"/>
        <v>27.588319100123261</v>
      </c>
      <c r="AE285" s="593">
        <f t="shared" si="153"/>
        <v>-9.4196124991417616</v>
      </c>
      <c r="AG285" s="592">
        <f t="shared" si="154"/>
        <v>2.0693330393536864</v>
      </c>
      <c r="AH285" s="593">
        <f t="shared" si="155"/>
        <v>-80.057837253841129</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5">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1.0077613535341905</v>
      </c>
      <c r="N286" s="585">
        <f t="shared" si="142"/>
        <v>-0.12418925018393794</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3.9020217101415389</v>
      </c>
      <c r="X286" s="590">
        <f t="shared" si="148"/>
        <v>-116.19625836392078</v>
      </c>
      <c r="Y286" s="593">
        <f t="shared" si="149"/>
        <v>63.803741636079224</v>
      </c>
      <c r="AA286" s="150">
        <f t="shared" si="150"/>
        <v>1000000000</v>
      </c>
      <c r="AB286" s="150">
        <f t="shared" si="151"/>
        <v>350794170.25</v>
      </c>
      <c r="AD286" s="592">
        <f t="shared" si="152"/>
        <v>27.587625054511822</v>
      </c>
      <c r="AE286" s="593">
        <f t="shared" si="153"/>
        <v>-9.4270752428583098</v>
      </c>
      <c r="AG286" s="592">
        <f t="shared" si="154"/>
        <v>2.0215706502356037</v>
      </c>
      <c r="AH286" s="593">
        <f t="shared" si="155"/>
        <v>-80.03740800576125</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5">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1.0078511857622026</v>
      </c>
      <c r="N287" s="585">
        <f t="shared" si="142"/>
        <v>-0.12490124078207476</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3.8503013284778338</v>
      </c>
      <c r="X287" s="590">
        <f t="shared" si="148"/>
        <v>-116.33549226562259</v>
      </c>
      <c r="Y287" s="593">
        <f t="shared" si="149"/>
        <v>63.664507734377409</v>
      </c>
      <c r="AA287" s="150">
        <f t="shared" si="150"/>
        <v>1000000000</v>
      </c>
      <c r="AB287" s="150">
        <f t="shared" si="151"/>
        <v>354870244</v>
      </c>
      <c r="AD287" s="592">
        <f t="shared" si="152"/>
        <v>27.586932841896967</v>
      </c>
      <c r="AE287" s="593">
        <f t="shared" si="153"/>
        <v>-9.4348043342316803</v>
      </c>
      <c r="AG287" s="592">
        <f t="shared" si="154"/>
        <v>1.9741111539622862</v>
      </c>
      <c r="AH287" s="593">
        <f t="shared" si="155"/>
        <v>-80.016785161384831</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5">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1.0079415288096125</v>
      </c>
      <c r="N288" s="585">
        <f t="shared" si="142"/>
        <v>-0.12561310410782511</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3.7988630138749784</v>
      </c>
      <c r="X288" s="590">
        <f t="shared" si="148"/>
        <v>-116.47475202378661</v>
      </c>
      <c r="Y288" s="593">
        <f t="shared" si="149"/>
        <v>63.525247976213393</v>
      </c>
      <c r="AA288" s="150">
        <f t="shared" si="150"/>
        <v>1000000000</v>
      </c>
      <c r="AB288" s="150">
        <f t="shared" si="151"/>
        <v>358969862.25</v>
      </c>
      <c r="AD288" s="592">
        <f t="shared" si="152"/>
        <v>27.586242364128108</v>
      </c>
      <c r="AE288" s="593">
        <f t="shared" si="153"/>
        <v>-9.4427951560192263</v>
      </c>
      <c r="AG288" s="592">
        <f t="shared" si="154"/>
        <v>1.9269512482828075</v>
      </c>
      <c r="AH288" s="593">
        <f t="shared" si="155"/>
        <v>-79.995972374735373</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5">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1.0080323825390769</v>
      </c>
      <c r="N289" s="585">
        <f t="shared" si="142"/>
        <v>-0.12632483947403347</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3.7477034466629817</v>
      </c>
      <c r="X289" s="590">
        <f t="shared" si="148"/>
        <v>-116.61403647137099</v>
      </c>
      <c r="Y289" s="593">
        <f t="shared" si="149"/>
        <v>63.385963528629006</v>
      </c>
      <c r="AA289" s="150">
        <f t="shared" si="150"/>
        <v>1000000000</v>
      </c>
      <c r="AB289" s="150">
        <f t="shared" si="151"/>
        <v>363093025</v>
      </c>
      <c r="AD289" s="592">
        <f t="shared" si="152"/>
        <v>27.585553525853612</v>
      </c>
      <c r="AE289" s="593">
        <f t="shared" si="153"/>
        <v>-9.4510431948987748</v>
      </c>
      <c r="AG289" s="592">
        <f t="shared" si="154"/>
        <v>1.8800876865620983</v>
      </c>
      <c r="AH289" s="593">
        <f t="shared" si="155"/>
        <v>-79.974973218434258</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5">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1.0081256468658035</v>
      </c>
      <c r="N290" s="585">
        <f t="shared" si="142"/>
        <v>-0.12705120164926137</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3.6957670571694528</v>
      </c>
      <c r="X290" s="590">
        <f t="shared" si="148"/>
        <v>-116.75623358040508</v>
      </c>
      <c r="Y290" s="593">
        <f t="shared" si="149"/>
        <v>63.24376641959492</v>
      </c>
      <c r="AA290" s="150">
        <f t="shared" si="150"/>
        <v>1000000000</v>
      </c>
      <c r="AB290" s="150">
        <f t="shared" si="151"/>
        <v>367325973.0625</v>
      </c>
      <c r="AD290" s="592">
        <f t="shared" si="152"/>
        <v>27.584851997564517</v>
      </c>
      <c r="AE290" s="593">
        <f t="shared" si="153"/>
        <v>-9.4597229680136188</v>
      </c>
      <c r="AG290" s="592">
        <f t="shared" si="154"/>
        <v>1.8325546108593826</v>
      </c>
      <c r="AH290" s="593">
        <f t="shared" si="155"/>
        <v>-79.953350016231809</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5">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1.00821944298308</v>
      </c>
      <c r="N291" s="585">
        <f t="shared" si="142"/>
        <v>-0.12777742905853545</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3.6441142872017913</v>
      </c>
      <c r="X291" s="590">
        <f t="shared" si="148"/>
        <v>-116.89845402732492</v>
      </c>
      <c r="Y291" s="593">
        <f t="shared" si="149"/>
        <v>63.101545972675083</v>
      </c>
      <c r="AA291" s="150">
        <f t="shared" si="150"/>
        <v>1000000000</v>
      </c>
      <c r="AB291" s="150">
        <f t="shared" si="151"/>
        <v>371583452.25</v>
      </c>
      <c r="AD291" s="592">
        <f t="shared" si="152"/>
        <v>27.58415198522998</v>
      </c>
      <c r="AE291" s="593">
        <f t="shared" si="153"/>
        <v>-9.4686615529040079</v>
      </c>
      <c r="AG291" s="592">
        <f t="shared" si="154"/>
        <v>1.785323633574327</v>
      </c>
      <c r="AH291" s="593">
        <f t="shared" si="155"/>
        <v>-79.931539906987837</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5">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1.0083137707425005</v>
      </c>
      <c r="N292" s="585">
        <f t="shared" si="142"/>
        <v>-0.12850352097353823</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3.5927417863296913</v>
      </c>
      <c r="X292" s="590">
        <f t="shared" si="148"/>
        <v>-117.0406966415333</v>
      </c>
      <c r="Y292" s="593">
        <f t="shared" si="149"/>
        <v>62.959303358466698</v>
      </c>
      <c r="AA292" s="150">
        <f t="shared" si="150"/>
        <v>1000000000</v>
      </c>
      <c r="AB292" s="150">
        <f t="shared" si="151"/>
        <v>375865462.5625</v>
      </c>
      <c r="AD292" s="592">
        <f t="shared" si="152"/>
        <v>27.583453395869103</v>
      </c>
      <c r="AE292" s="593">
        <f t="shared" si="153"/>
        <v>-9.4778544660838318</v>
      </c>
      <c r="AG292" s="592">
        <f t="shared" si="154"/>
        <v>1.7383914732093475</v>
      </c>
      <c r="AH292" s="593">
        <f t="shared" si="155"/>
        <v>-79.909546442325762</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5">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1.0084086299948736</v>
      </c>
      <c r="N293" s="585">
        <f t="shared" si="142"/>
        <v>-0.12922947666679546</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3.5416462620118292</v>
      </c>
      <c r="X293" s="590">
        <f t="shared" si="148"/>
        <v>-117.18296027491949</v>
      </c>
      <c r="Y293" s="593">
        <f t="shared" si="149"/>
        <v>62.817039725080505</v>
      </c>
      <c r="AA293" s="150">
        <f t="shared" si="150"/>
        <v>1000000000</v>
      </c>
      <c r="AB293" s="150">
        <f t="shared" si="151"/>
        <v>380172004</v>
      </c>
      <c r="AD293" s="592">
        <f t="shared" si="152"/>
        <v>27.58275613915022</v>
      </c>
      <c r="AE293" s="593">
        <f t="shared" si="153"/>
        <v>-9.487297324732145</v>
      </c>
      <c r="AG293" s="592">
        <f t="shared" si="154"/>
        <v>1.6917549034019026</v>
      </c>
      <c r="AH293" s="593">
        <f t="shared" si="155"/>
        <v>-79.887373095018987</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5">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1.0085066119241588</v>
      </c>
      <c r="N294" s="585">
        <f t="shared" si="142"/>
        <v>-0.12997495450415736</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3.489451593916054</v>
      </c>
      <c r="X294" s="590">
        <f t="shared" si="148"/>
        <v>-117.329098248847</v>
      </c>
      <c r="Y294" s="593">
        <f t="shared" si="149"/>
        <v>62.670901751152996</v>
      </c>
      <c r="AA294" s="150">
        <f t="shared" si="150"/>
        <v>1000000000</v>
      </c>
      <c r="AB294" s="150">
        <f t="shared" si="151"/>
        <v>384620738.0625</v>
      </c>
      <c r="AD294" s="592">
        <f t="shared" si="152"/>
        <v>27.582041290217909</v>
      </c>
      <c r="AE294" s="593">
        <f t="shared" si="153"/>
        <v>-9.4972516645955913</v>
      </c>
      <c r="AG294" s="592">
        <f t="shared" si="154"/>
        <v>1.6441594179917769</v>
      </c>
      <c r="AH294" s="593">
        <f t="shared" si="155"/>
        <v>-79.864415424393044</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5">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1.0086051542090153</v>
      </c>
      <c r="N295" s="585">
        <f t="shared" si="142"/>
        <v>-0.13072028708698363</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3.4375422522758003</v>
      </c>
      <c r="X295" s="590">
        <f t="shared" si="148"/>
        <v>-117.4752560112583</v>
      </c>
      <c r="Y295" s="593">
        <f t="shared" si="149"/>
        <v>62.524743988741704</v>
      </c>
      <c r="AA295" s="150">
        <f t="shared" si="150"/>
        <v>1000000000</v>
      </c>
      <c r="AB295" s="150">
        <f t="shared" si="151"/>
        <v>389095350.25</v>
      </c>
      <c r="AD295" s="592">
        <f t="shared" si="152"/>
        <v>27.581327662141533</v>
      </c>
      <c r="AE295" s="593">
        <f t="shared" si="153"/>
        <v>-9.5074606163134323</v>
      </c>
      <c r="AG295" s="592">
        <f t="shared" si="154"/>
        <v>1.5968690281079201</v>
      </c>
      <c r="AH295" s="593">
        <f t="shared" si="155"/>
        <v>-79.841275173903824</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5">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1.0087042566852165</v>
      </c>
      <c r="N296" s="585">
        <f t="shared" si="142"/>
        <v>-0.13146547362987152</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3.3859148517443707</v>
      </c>
      <c r="X296" s="590">
        <f t="shared" si="148"/>
        <v>-117.62143238831231</v>
      </c>
      <c r="Y296" s="593">
        <f t="shared" si="149"/>
        <v>62.378567611687686</v>
      </c>
      <c r="AA296" s="150">
        <f t="shared" si="150"/>
        <v>1000000000</v>
      </c>
      <c r="AB296" s="150">
        <f t="shared" si="151"/>
        <v>393595840.5625</v>
      </c>
      <c r="AD296" s="592">
        <f t="shared" si="152"/>
        <v>27.580615165199191</v>
      </c>
      <c r="AE296" s="593">
        <f t="shared" si="153"/>
        <v>-9.5179197444617216</v>
      </c>
      <c r="AG296" s="592">
        <f t="shared" si="154"/>
        <v>1.5498804116146405</v>
      </c>
      <c r="AH296" s="593">
        <f t="shared" si="155"/>
        <v>-79.817955860841892</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5">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1.0088039191876668</v>
      </c>
      <c r="N297" s="585">
        <f t="shared" si="142"/>
        <v>-0.13221051334837472</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3.3345660656839318</v>
      </c>
      <c r="X297" s="590">
        <f t="shared" si="148"/>
        <v>-117.76762622858297</v>
      </c>
      <c r="Y297" s="593">
        <f t="shared" si="149"/>
        <v>62.232373771417031</v>
      </c>
      <c r="AA297" s="150">
        <f t="shared" si="150"/>
        <v>1000000000</v>
      </c>
      <c r="AB297" s="150">
        <f t="shared" si="151"/>
        <v>398122209</v>
      </c>
      <c r="AD297" s="592">
        <f t="shared" si="152"/>
        <v>27.579903712239226</v>
      </c>
      <c r="AE297" s="593">
        <f t="shared" si="153"/>
        <v>-9.5286247135659856</v>
      </c>
      <c r="AG297" s="592">
        <f t="shared" si="154"/>
        <v>1.5031903024007818</v>
      </c>
      <c r="AH297" s="593">
        <f t="shared" si="155"/>
        <v>-79.794460924203534</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5">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1.0089061296162378</v>
      </c>
      <c r="N298" s="585">
        <f t="shared" si="142"/>
        <v>-0.13297013809461938</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3.2824851360839324</v>
      </c>
      <c r="X298" s="590">
        <f t="shared" si="148"/>
        <v>-117.91672862899944</v>
      </c>
      <c r="Y298" s="593">
        <f t="shared" si="149"/>
        <v>62.083271371000563</v>
      </c>
      <c r="AA298" s="150">
        <f t="shared" si="150"/>
        <v>1000000000</v>
      </c>
      <c r="AB298" s="150">
        <f t="shared" si="151"/>
        <v>402764761</v>
      </c>
      <c r="AD298" s="592">
        <f t="shared" si="152"/>
        <v>27.579179173986152</v>
      </c>
      <c r="AE298" s="593">
        <f t="shared" si="153"/>
        <v>-9.539790219336556</v>
      </c>
      <c r="AG298" s="592">
        <f t="shared" si="154"/>
        <v>1.455880746265287</v>
      </c>
      <c r="AH298" s="593">
        <f t="shared" si="155"/>
        <v>-79.770323869601683</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5">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1.0090089220955247</v>
      </c>
      <c r="N299" s="585">
        <f t="shared" si="142"/>
        <v>-0.13372960850594351</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3.2306871452686203</v>
      </c>
      <c r="X299" s="590">
        <f t="shared" si="148"/>
        <v>-118.06584684037529</v>
      </c>
      <c r="Y299" s="593">
        <f t="shared" si="149"/>
        <v>61.934153159624714</v>
      </c>
      <c r="AA299" s="150">
        <f t="shared" si="150"/>
        <v>1000000000</v>
      </c>
      <c r="AB299" s="150">
        <f t="shared" si="151"/>
        <v>407434225</v>
      </c>
      <c r="AD299" s="592">
        <f t="shared" si="152"/>
        <v>27.578455546160079</v>
      </c>
      <c r="AE299" s="593">
        <f t="shared" si="153"/>
        <v>-9.5512025867533907</v>
      </c>
      <c r="AG299" s="592">
        <f t="shared" si="154"/>
        <v>1.4088749354534675</v>
      </c>
      <c r="AH299" s="593">
        <f t="shared" si="155"/>
        <v>-79.746011159185841</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5">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1.0091122964476575</v>
      </c>
      <c r="N300" s="585">
        <f t="shared" si="142"/>
        <v>-0.13448892375352733</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3.1791687453493833</v>
      </c>
      <c r="X300" s="590">
        <f t="shared" si="148"/>
        <v>-118.21497970976733</v>
      </c>
      <c r="Y300" s="593">
        <f t="shared" si="149"/>
        <v>61.785020290232666</v>
      </c>
      <c r="AA300" s="150">
        <f t="shared" si="150"/>
        <v>1000000000</v>
      </c>
      <c r="AB300" s="150">
        <f t="shared" si="151"/>
        <v>412130601</v>
      </c>
      <c r="AD300" s="592">
        <f t="shared" si="152"/>
        <v>27.577732744047083</v>
      </c>
      <c r="AE300" s="593">
        <f t="shared" si="153"/>
        <v>-9.5628575213107947</v>
      </c>
      <c r="AG300" s="592">
        <f t="shared" si="154"/>
        <v>1.3621695781912924</v>
      </c>
      <c r="AH300" s="593">
        <f t="shared" si="155"/>
        <v>-79.7215262024406</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5">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1.0092162524938315</v>
      </c>
      <c r="N301" s="585">
        <f t="shared" si="142"/>
        <v>-0.13524808300960525</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3.1279266463030613</v>
      </c>
      <c r="X301" s="590">
        <f t="shared" si="148"/>
        <v>-118.3641261059488</v>
      </c>
      <c r="Y301" s="593">
        <f t="shared" si="149"/>
        <v>61.635873894051201</v>
      </c>
      <c r="AA301" s="150">
        <f t="shared" si="150"/>
        <v>1000000000</v>
      </c>
      <c r="AB301" s="150">
        <f t="shared" si="151"/>
        <v>416853889</v>
      </c>
      <c r="AD301" s="592">
        <f t="shared" si="152"/>
        <v>27.577010685356647</v>
      </c>
      <c r="AE301" s="593">
        <f t="shared" si="153"/>
        <v>-9.574750824941983</v>
      </c>
      <c r="AG301" s="592">
        <f t="shared" si="154"/>
        <v>1.3157614380259461</v>
      </c>
      <c r="AH301" s="593">
        <f t="shared" si="155"/>
        <v>-79.69687233329681</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5">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1.0093235013243458</v>
      </c>
      <c r="N302" s="585">
        <f t="shared" si="142"/>
        <v>-0.13602671273320036</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3.0756430438139537</v>
      </c>
      <c r="X302" s="590">
        <f t="shared" si="148"/>
        <v>-118.5171426292391</v>
      </c>
      <c r="Y302" s="593">
        <f t="shared" si="149"/>
        <v>61.482857370760897</v>
      </c>
      <c r="AA302" s="150">
        <f t="shared" si="150"/>
        <v>1000000000</v>
      </c>
      <c r="AB302" s="150">
        <f t="shared" si="151"/>
        <v>421727296</v>
      </c>
      <c r="AD302" s="592">
        <f t="shared" si="152"/>
        <v>27.576270641468092</v>
      </c>
      <c r="AE302" s="593">
        <f t="shared" si="153"/>
        <v>-9.5871951088116312</v>
      </c>
      <c r="AG302" s="592">
        <f t="shared" si="154"/>
        <v>1.2684585987691395</v>
      </c>
      <c r="AH302" s="593">
        <f t="shared" si="155"/>
        <v>-79.671408759350555</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5">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1.0094313619413673</v>
      </c>
      <c r="N303" s="585">
        <f t="shared" si="142"/>
        <v>-0.13680517653105764</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3.0236433853068418</v>
      </c>
      <c r="X303" s="590">
        <f t="shared" si="148"/>
        <v>-118.67017104387851</v>
      </c>
      <c r="Y303" s="593">
        <f t="shared" si="149"/>
        <v>61.329828956121489</v>
      </c>
      <c r="AA303" s="150">
        <f t="shared" si="150"/>
        <v>1000000000</v>
      </c>
      <c r="AB303" s="150">
        <f t="shared" si="151"/>
        <v>426629025</v>
      </c>
      <c r="AD303" s="592">
        <f t="shared" si="152"/>
        <v>27.575531211987091</v>
      </c>
      <c r="AE303" s="593">
        <f t="shared" si="153"/>
        <v>-9.5998816002190495</v>
      </c>
      <c r="AG303" s="592">
        <f t="shared" si="154"/>
        <v>1.2214618219277857</v>
      </c>
      <c r="AH303" s="593">
        <f t="shared" si="155"/>
        <v>-79.645774296171211</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5">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1.0095398341488038</v>
      </c>
      <c r="N304" s="585">
        <f t="shared" si="142"/>
        <v>-0.13758347351300493</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2.9719243000868261</v>
      </c>
      <c r="X304" s="590">
        <f t="shared" si="148"/>
        <v>-118.82321019603415</v>
      </c>
      <c r="Y304" s="593">
        <f t="shared" si="149"/>
        <v>61.176789803965846</v>
      </c>
      <c r="AA304" s="150">
        <f t="shared" si="150"/>
        <v>1000000000</v>
      </c>
      <c r="AB304" s="150">
        <f t="shared" si="151"/>
        <v>431559076</v>
      </c>
      <c r="AD304" s="592">
        <f t="shared" si="152"/>
        <v>27.574792315497323</v>
      </c>
      <c r="AE304" s="593">
        <f t="shared" si="153"/>
        <v>-9.6128060657703429</v>
      </c>
      <c r="AG304" s="592">
        <f t="shared" si="154"/>
        <v>1.1747677868248423</v>
      </c>
      <c r="AH304" s="593">
        <f t="shared" si="155"/>
        <v>-79.619972308924218</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5">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1.0096489177495354</v>
      </c>
      <c r="N305" s="585">
        <f t="shared" si="142"/>
        <v>-0.1383616027900598</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2.9204824758704517</v>
      </c>
      <c r="X305" s="590">
        <f t="shared" si="148"/>
        <v>-118.9762589534279</v>
      </c>
      <c r="Y305" s="593">
        <f t="shared" si="149"/>
        <v>61.023741046572098</v>
      </c>
      <c r="AA305" s="150">
        <f t="shared" si="150"/>
        <v>1000000000</v>
      </c>
      <c r="AB305" s="150">
        <f t="shared" si="151"/>
        <v>436517449</v>
      </c>
      <c r="AD305" s="592">
        <f t="shared" si="152"/>
        <v>27.574053872922608</v>
      </c>
      <c r="AE305" s="593">
        <f t="shared" si="153"/>
        <v>-9.6259643673637978</v>
      </c>
      <c r="AG305" s="592">
        <f t="shared" si="154"/>
        <v>1.1283732287236785</v>
      </c>
      <c r="AH305" s="593">
        <f t="shared" si="155"/>
        <v>-79.594006088101551</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5">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1.0097611547329308</v>
      </c>
      <c r="N306" s="585">
        <f t="shared" si="142"/>
        <v>-0.13915753955736532</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2.8681354214485171</v>
      </c>
      <c r="X306" s="590">
        <f t="shared" si="148"/>
        <v>-119.13285333375028</v>
      </c>
      <c r="Y306" s="593">
        <f t="shared" si="149"/>
        <v>60.867146666249724</v>
      </c>
      <c r="AA306" s="150">
        <f t="shared" si="150"/>
        <v>1000000000</v>
      </c>
      <c r="AB306" s="150">
        <f t="shared" si="151"/>
        <v>441619717.5625</v>
      </c>
      <c r="AD306" s="592">
        <f t="shared" si="152"/>
        <v>27.573298755172068</v>
      </c>
      <c r="AE306" s="593">
        <f t="shared" si="153"/>
        <v>-9.6396645329934909</v>
      </c>
      <c r="AG306" s="592">
        <f t="shared" si="154"/>
        <v>1.0812131180208782</v>
      </c>
      <c r="AH306" s="593">
        <f t="shared" si="155"/>
        <v>-79.567273192697328</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5">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1.0098740312730767</v>
      </c>
      <c r="N307" s="585">
        <f t="shared" si="142"/>
        <v>-0.13995329890039565</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2.8160717577801435</v>
      </c>
      <c r="X307" s="590">
        <f t="shared" si="148"/>
        <v>-119.28945543716146</v>
      </c>
      <c r="Y307" s="593">
        <f t="shared" si="149"/>
        <v>60.710544562838535</v>
      </c>
      <c r="AA307" s="150">
        <f t="shared" si="150"/>
        <v>1000000000</v>
      </c>
      <c r="AB307" s="150">
        <f t="shared" si="151"/>
        <v>446751632.25</v>
      </c>
      <c r="AD307" s="592">
        <f t="shared" si="152"/>
        <v>27.57254395226385</v>
      </c>
      <c r="AE307" s="593">
        <f t="shared" si="153"/>
        <v>-9.6536009978535162</v>
      </c>
      <c r="AG307" s="592">
        <f t="shared" si="154"/>
        <v>1.0343597458327602</v>
      </c>
      <c r="AH307" s="593">
        <f t="shared" si="155"/>
        <v>-79.540375123236572</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5">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1.0099875471555422</v>
      </c>
      <c r="N308" s="585">
        <f t="shared" si="142"/>
        <v>-0.14074887987100546</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2.7642881188342763</v>
      </c>
      <c r="X308" s="590">
        <f t="shared" si="148"/>
        <v>-119.4460641173772</v>
      </c>
      <c r="Y308" s="593">
        <f t="shared" si="149"/>
        <v>60.553935882622795</v>
      </c>
      <c r="AA308" s="150">
        <f t="shared" si="150"/>
        <v>1000000000</v>
      </c>
      <c r="AB308" s="150">
        <f t="shared" si="151"/>
        <v>451913193.0625</v>
      </c>
      <c r="AD308" s="592">
        <f t="shared" si="152"/>
        <v>27.571789386614171</v>
      </c>
      <c r="AE308" s="593">
        <f t="shared" si="153"/>
        <v>-9.6677696228054497</v>
      </c>
      <c r="AG308" s="592">
        <f t="shared" si="154"/>
        <v>0.98780978952606091</v>
      </c>
      <c r="AH308" s="593">
        <f t="shared" si="155"/>
        <v>-79.513315174381063</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5">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1.0101017021647778</v>
      </c>
      <c r="N309" s="585">
        <f t="shared" si="142"/>
        <v>-0.14154428152237755</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2.7127811969077524</v>
      </c>
      <c r="X309" s="590">
        <f t="shared" si="148"/>
        <v>-119.60267824928076</v>
      </c>
      <c r="Y309" s="593">
        <f t="shared" si="149"/>
        <v>60.397321750719243</v>
      </c>
      <c r="AA309" s="150">
        <f t="shared" si="150"/>
        <v>1000000000</v>
      </c>
      <c r="AB309" s="150">
        <f t="shared" si="151"/>
        <v>457104400</v>
      </c>
      <c r="AD309" s="592">
        <f t="shared" si="152"/>
        <v>27.571034982874462</v>
      </c>
      <c r="AE309" s="593">
        <f t="shared" si="153"/>
        <v>-9.6821663618473064</v>
      </c>
      <c r="AG309" s="592">
        <f t="shared" si="154"/>
        <v>0.94155998242025818</v>
      </c>
      <c r="AH309" s="593">
        <f t="shared" si="155"/>
        <v>-79.486096567785083</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5">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1.0102190963421587</v>
      </c>
      <c r="N310" s="585">
        <f t="shared" si="142"/>
        <v>-0.14235746269921742</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2.6603936506547212</v>
      </c>
      <c r="X310" s="590">
        <f t="shared" si="148"/>
        <v>-119.76283435379247</v>
      </c>
      <c r="Y310" s="593">
        <f t="shared" si="149"/>
        <v>60.237165646207529</v>
      </c>
      <c r="AA310" s="150">
        <f t="shared" si="150"/>
        <v>1000000000</v>
      </c>
      <c r="AB310" s="150">
        <f t="shared" si="151"/>
        <v>462443520.25</v>
      </c>
      <c r="AD310" s="592">
        <f t="shared" si="152"/>
        <v>27.570263630407105</v>
      </c>
      <c r="AE310" s="593">
        <f t="shared" si="153"/>
        <v>-9.6971200641152109</v>
      </c>
      <c r="AG310" s="592">
        <f t="shared" si="154"/>
        <v>0.89457256725062129</v>
      </c>
      <c r="AH310" s="593">
        <f t="shared" si="155"/>
        <v>-79.458102375886085</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5">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1.0103371583851859</v>
      </c>
      <c r="N311" s="585">
        <f t="shared" si="142"/>
        <v>-0.1431704543664396</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2.6082886483864449</v>
      </c>
      <c r="X311" s="590">
        <f t="shared" si="148"/>
        <v>-119.92299384475835</v>
      </c>
      <c r="Y311" s="593">
        <f t="shared" si="149"/>
        <v>60.077006155241648</v>
      </c>
      <c r="AA311" s="150">
        <f t="shared" si="150"/>
        <v>1000000000</v>
      </c>
      <c r="AB311" s="150">
        <f t="shared" si="151"/>
        <v>467813641</v>
      </c>
      <c r="AD311" s="592">
        <f t="shared" si="152"/>
        <v>27.569492294718792</v>
      </c>
      <c r="AE311" s="593">
        <f t="shared" si="153"/>
        <v>-9.712304031477375</v>
      </c>
      <c r="AG311" s="592">
        <f t="shared" si="154"/>
        <v>0.84789227822492541</v>
      </c>
      <c r="AH311" s="593">
        <f t="shared" si="155"/>
        <v>-79.429948866833442</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5">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1.0104558880597587</v>
      </c>
      <c r="N312" s="585">
        <f t="shared" si="142"/>
        <v>-0.14398325551595792</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2.5564628338199218</v>
      </c>
      <c r="X312" s="590">
        <f t="shared" si="148"/>
        <v>-120.08315558411239</v>
      </c>
      <c r="Y312" s="593">
        <f t="shared" si="149"/>
        <v>59.91684441588761</v>
      </c>
      <c r="AA312" s="150">
        <f t="shared" si="150"/>
        <v>1000000000</v>
      </c>
      <c r="AB312" s="150">
        <f t="shared" si="151"/>
        <v>473214762.25</v>
      </c>
      <c r="AD312" s="592">
        <f t="shared" si="152"/>
        <v>27.568720902010956</v>
      </c>
      <c r="AE312" s="593">
        <f t="shared" si="153"/>
        <v>-9.7277142229299525</v>
      </c>
      <c r="AG312" s="592">
        <f t="shared" si="154"/>
        <v>0.80151579570576281</v>
      </c>
      <c r="AH312" s="593">
        <f t="shared" si="155"/>
        <v>-79.401639261790848</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5">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1.0105752851305625</v>
      </c>
      <c r="N313" s="585">
        <f t="shared" si="142"/>
        <v>-0.14479586514116546</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2.504912908802055</v>
      </c>
      <c r="X313" s="590">
        <f t="shared" si="148"/>
        <v>-120.2433184545414</v>
      </c>
      <c r="Y313" s="593">
        <f t="shared" si="149"/>
        <v>59.756681545458605</v>
      </c>
      <c r="AA313" s="150">
        <f t="shared" si="150"/>
        <v>1000000000</v>
      </c>
      <c r="AB313" s="150">
        <f t="shared" si="151"/>
        <v>478646884</v>
      </c>
      <c r="AD313" s="592">
        <f t="shared" si="152"/>
        <v>27.567949380615833</v>
      </c>
      <c r="AE313" s="593">
        <f t="shared" si="153"/>
        <v>-9.7433466883142668</v>
      </c>
      <c r="AG313" s="592">
        <f t="shared" si="154"/>
        <v>0.75543985590592289</v>
      </c>
      <c r="AH313" s="593">
        <f t="shared" si="155"/>
        <v>-79.373176710680042</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5">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1.0106980089114026</v>
      </c>
      <c r="N314" s="585">
        <f t="shared" si="142"/>
        <v>-0.14562622501193709</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2.4525060547148607</v>
      </c>
      <c r="X314" s="590">
        <f t="shared" si="148"/>
        <v>-120.40701908591373</v>
      </c>
      <c r="Y314" s="593">
        <f t="shared" si="149"/>
        <v>59.592980914086269</v>
      </c>
      <c r="AA314" s="150">
        <f t="shared" si="150"/>
        <v>1000000000</v>
      </c>
      <c r="AB314" s="150">
        <f t="shared" si="151"/>
        <v>484231027.5625</v>
      </c>
      <c r="AD314" s="592">
        <f t="shared" si="152"/>
        <v>27.567160612151142</v>
      </c>
      <c r="AE314" s="593">
        <f t="shared" si="153"/>
        <v>-9.7595501221248284</v>
      </c>
      <c r="AG314" s="592">
        <f t="shared" si="154"/>
        <v>0.70865340782773045</v>
      </c>
      <c r="AH314" s="593">
        <f t="shared" si="155"/>
        <v>-79.343930624356787</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5">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1.0108214293965134</v>
      </c>
      <c r="N315" s="585">
        <f t="shared" si="142"/>
        <v>-0.14645638268243685</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2.4003806257583351</v>
      </c>
      <c r="X315" s="590">
        <f t="shared" si="148"/>
        <v>-120.57071860262033</v>
      </c>
      <c r="Y315" s="593">
        <f t="shared" si="149"/>
        <v>59.429281397379668</v>
      </c>
      <c r="AA315" s="150">
        <f t="shared" si="150"/>
        <v>1000000000</v>
      </c>
      <c r="AB315" s="150">
        <f t="shared" si="151"/>
        <v>489847556.25</v>
      </c>
      <c r="AD315" s="592">
        <f t="shared" si="152"/>
        <v>27.566371564365721</v>
      </c>
      <c r="AE315" s="593">
        <f t="shared" si="153"/>
        <v>-9.7759776927868174</v>
      </c>
      <c r="AG315" s="592">
        <f t="shared" si="154"/>
        <v>0.66217420479172717</v>
      </c>
      <c r="AH315" s="593">
        <f t="shared" si="155"/>
        <v>-79.314531195394949</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5">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1.0109455463307246</v>
      </c>
      <c r="N316" s="585">
        <f t="shared" si="142"/>
        <v>-0.14728633708270578</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2.348533280110459</v>
      </c>
      <c r="X316" s="590">
        <f t="shared" si="148"/>
        <v>-120.73441587532065</v>
      </c>
      <c r="Y316" s="593">
        <f t="shared" si="149"/>
        <v>59.26558412467935</v>
      </c>
      <c r="AA316" s="150">
        <f t="shared" si="150"/>
        <v>1000000000</v>
      </c>
      <c r="AB316" s="150">
        <f t="shared" si="151"/>
        <v>495496470.0625</v>
      </c>
      <c r="AD316" s="592">
        <f t="shared" si="152"/>
        <v>27.5655821671822</v>
      </c>
      <c r="AE316" s="593">
        <f t="shared" si="153"/>
        <v>-9.7926254604733707</v>
      </c>
      <c r="AG316" s="592">
        <f t="shared" si="154"/>
        <v>0.61599893474829148</v>
      </c>
      <c r="AH316" s="593">
        <f t="shared" si="155"/>
        <v>-79.284981569091727</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5">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1.0110703594575527</v>
      </c>
      <c r="N317" s="585">
        <f t="shared" si="142"/>
        <v>-0.14811608714442892</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2.2969607337758551</v>
      </c>
      <c r="X317" s="590">
        <f t="shared" si="148"/>
        <v>-120.8981097949908</v>
      </c>
      <c r="Y317" s="593">
        <f t="shared" si="149"/>
        <v>59.101890205009198</v>
      </c>
      <c r="AA317" s="150">
        <f t="shared" si="150"/>
        <v>1000000000</v>
      </c>
      <c r="AB317" s="150">
        <f t="shared" si="151"/>
        <v>501177769</v>
      </c>
      <c r="AD317" s="592">
        <f t="shared" si="152"/>
        <v>27.564792352550857</v>
      </c>
      <c r="AE317" s="593">
        <f t="shared" si="153"/>
        <v>-9.809489573801228</v>
      </c>
      <c r="AG317" s="592">
        <f t="shared" si="154"/>
        <v>0.57012434128838874</v>
      </c>
      <c r="AH317" s="593">
        <f t="shared" si="155"/>
        <v>-79.255284821348098</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5">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1.0111990831670337</v>
      </c>
      <c r="N318" s="585">
        <f t="shared" si="142"/>
        <v>-0.14896681590016869</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2.2443530466834578</v>
      </c>
      <c r="X318" s="590">
        <f t="shared" si="148"/>
        <v>-121.06597987897865</v>
      </c>
      <c r="Y318" s="593">
        <f t="shared" si="149"/>
        <v>58.934020121021348</v>
      </c>
      <c r="AA318" s="150">
        <f t="shared" si="150"/>
        <v>1000000000</v>
      </c>
      <c r="AB318" s="150">
        <f t="shared" si="151"/>
        <v>507037806.25</v>
      </c>
      <c r="AD318" s="592">
        <f t="shared" si="152"/>
        <v>27.563981863044802</v>
      </c>
      <c r="AE318" s="593">
        <f t="shared" si="153"/>
        <v>-9.8270051620790486</v>
      </c>
      <c r="AG318" s="592">
        <f t="shared" si="154"/>
        <v>0.52338703809844711</v>
      </c>
      <c r="AH318" s="593">
        <f t="shared" si="155"/>
        <v>-79.224679955628517</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5">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1.0113285385345385</v>
      </c>
      <c r="N319" s="585">
        <f t="shared" si="142"/>
        <v>-0.14981732747582355</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2.1920275600128045</v>
      </c>
      <c r="X319" s="590">
        <f t="shared" si="148"/>
        <v>-121.23384413713107</v>
      </c>
      <c r="Y319" s="593">
        <f t="shared" si="149"/>
        <v>58.766155862868928</v>
      </c>
      <c r="AA319" s="150">
        <f t="shared" si="150"/>
        <v>1000000000</v>
      </c>
      <c r="AB319" s="150">
        <f t="shared" si="151"/>
        <v>512931904</v>
      </c>
      <c r="AD319" s="592">
        <f t="shared" si="152"/>
        <v>27.563170795778564</v>
      </c>
      <c r="AE319" s="593">
        <f t="shared" si="153"/>
        <v>-9.844740358227531</v>
      </c>
      <c r="AG319" s="592">
        <f t="shared" si="154"/>
        <v>0.47695920331604491</v>
      </c>
      <c r="AH319" s="593">
        <f t="shared" si="155"/>
        <v>-79.193926694500178</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5">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1.0114587252791349</v>
      </c>
      <c r="N320" s="585">
        <f t="shared" si="142"/>
        <v>-0.15066762072455156</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2.1399809125998672</v>
      </c>
      <c r="X320" s="590">
        <f t="shared" si="148"/>
        <v>-121.40170143633854</v>
      </c>
      <c r="Y320" s="593">
        <f t="shared" si="149"/>
        <v>58.598298563661459</v>
      </c>
      <c r="AA320" s="150">
        <f t="shared" si="150"/>
        <v>1000000000</v>
      </c>
      <c r="AB320" s="150">
        <f t="shared" si="151"/>
        <v>518860062.25</v>
      </c>
      <c r="AD320" s="592">
        <f t="shared" si="152"/>
        <v>27.562359083560118</v>
      </c>
      <c r="AE320" s="593">
        <f t="shared" si="153"/>
        <v>-9.8626912819422117</v>
      </c>
      <c r="AG320" s="592">
        <f t="shared" si="154"/>
        <v>0.43083749881421579</v>
      </c>
      <c r="AH320" s="593">
        <f t="shared" si="155"/>
        <v>-79.163028140727747</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5">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1.0115896431184492</v>
      </c>
      <c r="N321" s="585">
        <f t="shared" si="142"/>
        <v>-0.15151769450136238</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2.0882098015854322</v>
      </c>
      <c r="X321" s="590">
        <f t="shared" si="148"/>
        <v>-121.56955066365926</v>
      </c>
      <c r="Y321" s="593">
        <f t="shared" si="149"/>
        <v>58.430449336340743</v>
      </c>
      <c r="AA321" s="150">
        <f t="shared" si="150"/>
        <v>1000000000</v>
      </c>
      <c r="AB321" s="150">
        <f t="shared" si="151"/>
        <v>524822281</v>
      </c>
      <c r="AD321" s="592">
        <f t="shared" si="152"/>
        <v>27.561546661153088</v>
      </c>
      <c r="AE321" s="593">
        <f t="shared" si="153"/>
        <v>-9.8808541401852743</v>
      </c>
      <c r="AG321" s="592">
        <f t="shared" si="154"/>
        <v>0.38501864264491475</v>
      </c>
      <c r="AH321" s="593">
        <f t="shared" si="155"/>
        <v>-79.131987328557301</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5">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1.0117240738342534</v>
      </c>
      <c r="N322" s="585">
        <f t="shared" si="142"/>
        <v>-0.15238545406448112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2.0356286630945535</v>
      </c>
      <c r="X322" s="590">
        <f t="shared" si="148"/>
        <v>-121.74092747890953</v>
      </c>
      <c r="Y322" s="593">
        <f t="shared" si="149"/>
        <v>58.259072521090474</v>
      </c>
      <c r="AA322" s="150">
        <f t="shared" si="150"/>
        <v>1000000000</v>
      </c>
      <c r="AB322" s="150">
        <f t="shared" si="151"/>
        <v>530945285.0625</v>
      </c>
      <c r="AD322" s="592">
        <f t="shared" si="152"/>
        <v>27.560716320126932</v>
      </c>
      <c r="AE322" s="593">
        <f t="shared" si="153"/>
        <v>-9.8996145686308683</v>
      </c>
      <c r="AG322" s="592">
        <f t="shared" si="154"/>
        <v>0.33854339054164373</v>
      </c>
      <c r="AH322" s="593">
        <f t="shared" si="155"/>
        <v>-79.100148696254649</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5">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1.0118592661822605</v>
      </c>
      <c r="N323" s="585">
        <f t="shared" si="142"/>
        <v>-0.15325298240171836</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1.9833280165224465</v>
      </c>
      <c r="X323" s="590">
        <f t="shared" si="148"/>
        <v>-121.91229359535744</v>
      </c>
      <c r="Y323" s="593">
        <f t="shared" si="149"/>
        <v>58.08770640464256</v>
      </c>
      <c r="AA323" s="150">
        <f t="shared" si="150"/>
        <v>1000000000</v>
      </c>
      <c r="AB323" s="150">
        <f t="shared" si="151"/>
        <v>537103800.25</v>
      </c>
      <c r="AD323" s="592">
        <f t="shared" si="152"/>
        <v>27.559885107156163</v>
      </c>
      <c r="AE323" s="593">
        <f t="shared" si="153"/>
        <v>-9.9185882330056234</v>
      </c>
      <c r="AG323" s="592">
        <f t="shared" si="154"/>
        <v>0.29237714307014073</v>
      </c>
      <c r="AH323" s="593">
        <f t="shared" si="155"/>
        <v>-79.068167930199209</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5">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1.0119952198572317</v>
      </c>
      <c r="N324" s="585">
        <f t="shared" si="142"/>
        <v>-0.15412027830019223</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1.931304525437143</v>
      </c>
      <c r="X324" s="590">
        <f t="shared" si="148"/>
        <v>-122.08364788989041</v>
      </c>
      <c r="Y324" s="593">
        <f t="shared" si="149"/>
        <v>57.916352110109585</v>
      </c>
      <c r="AA324" s="150">
        <f t="shared" si="150"/>
        <v>1000000000</v>
      </c>
      <c r="AB324" s="150">
        <f t="shared" si="151"/>
        <v>543297826.5625</v>
      </c>
      <c r="AD324" s="592">
        <f t="shared" si="152"/>
        <v>27.559052958687367</v>
      </c>
      <c r="AE324" s="593">
        <f t="shared" si="153"/>
        <v>-9.9377713614133683</v>
      </c>
      <c r="AG324" s="592">
        <f t="shared" si="154"/>
        <v>0.24651657962439616</v>
      </c>
      <c r="AH324" s="593">
        <f t="shared" si="155"/>
        <v>-79.036048051574724</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5">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1.0121319345523732</v>
      </c>
      <c r="N325" s="585">
        <f t="shared" si="142"/>
        <v>-0.1549873405490694</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1.8795549111775591</v>
      </c>
      <c r="X325" s="590">
        <f t="shared" si="148"/>
        <v>-122.25498925908023</v>
      </c>
      <c r="Y325" s="593">
        <f t="shared" si="149"/>
        <v>57.745010740919767</v>
      </c>
      <c r="AA325" s="150">
        <f t="shared" si="150"/>
        <v>1000000000</v>
      </c>
      <c r="AB325" s="150">
        <f t="shared" si="151"/>
        <v>549527364</v>
      </c>
      <c r="AD325" s="592">
        <f t="shared" si="152"/>
        <v>27.558219813020735</v>
      </c>
      <c r="AE325" s="593">
        <f t="shared" si="153"/>
        <v>-9.9571602665700993</v>
      </c>
      <c r="AG325" s="592">
        <f t="shared" si="154"/>
        <v>0.20095843533609439</v>
      </c>
      <c r="AH325" s="593">
        <f t="shared" si="155"/>
        <v>-79.003792015076272</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5">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1.0122727725186789</v>
      </c>
      <c r="N326" s="585">
        <f t="shared" si="142"/>
        <v>-0.15587530712688988</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1.8268237215152121</v>
      </c>
      <c r="X326" s="590">
        <f t="shared" si="148"/>
        <v>-122.43049515071624</v>
      </c>
      <c r="Y326" s="593">
        <f t="shared" si="149"/>
        <v>57.56950484928376</v>
      </c>
      <c r="AA326" s="150">
        <f t="shared" si="150"/>
        <v>1000000000</v>
      </c>
      <c r="AB326" s="150">
        <f t="shared" si="151"/>
        <v>555945662.25</v>
      </c>
      <c r="AD326" s="592">
        <f t="shared" si="152"/>
        <v>27.557365250138901</v>
      </c>
      <c r="AE326" s="593">
        <f t="shared" si="153"/>
        <v>-9.9772316703369572</v>
      </c>
      <c r="AG326" s="592">
        <f t="shared" si="154"/>
        <v>0.15459933450801921</v>
      </c>
      <c r="AH326" s="593">
        <f t="shared" si="155"/>
        <v>-78.970611086832164</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5">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1.0124144084240874</v>
      </c>
      <c r="N327" s="585">
        <f t="shared" si="142"/>
        <v>-0.15676302595297842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1.7743731466236383</v>
      </c>
      <c r="X327" s="590">
        <f t="shared" si="148"/>
        <v>-122.60598519585139</v>
      </c>
      <c r="Y327" s="593">
        <f t="shared" si="149"/>
        <v>57.394014804148611</v>
      </c>
      <c r="AA327" s="150">
        <f t="shared" si="150"/>
        <v>1000000000</v>
      </c>
      <c r="AB327" s="150">
        <f t="shared" si="151"/>
        <v>562401225</v>
      </c>
      <c r="AD327" s="592">
        <f t="shared" si="152"/>
        <v>27.556509515447061</v>
      </c>
      <c r="AE327" s="593">
        <f t="shared" si="153"/>
        <v>-9.997511440091138</v>
      </c>
      <c r="AG327" s="592">
        <f t="shared" si="154"/>
        <v>0.10855082310429071</v>
      </c>
      <c r="AH327" s="593">
        <f t="shared" si="155"/>
        <v>-78.937293348715215</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5">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1.0125568419337527</v>
      </c>
      <c r="N328" s="585">
        <f t="shared" si="142"/>
        <v>-0.15765049573247181</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1.7221998421001306</v>
      </c>
      <c r="X328" s="590">
        <f t="shared" si="148"/>
        <v>-122.78145826924427</v>
      </c>
      <c r="Y328" s="593">
        <f t="shared" si="149"/>
        <v>57.218541730755732</v>
      </c>
      <c r="AA328" s="150">
        <f t="shared" si="150"/>
        <v>1000000000</v>
      </c>
      <c r="AB328" s="150">
        <f t="shared" si="151"/>
        <v>568894052.25</v>
      </c>
      <c r="AD328" s="592">
        <f t="shared" si="152"/>
        <v>27.555652548271219</v>
      </c>
      <c r="AE328" s="593">
        <f t="shared" si="153"/>
        <v>-10.017995872999327</v>
      </c>
      <c r="AG328" s="592">
        <f t="shared" si="154"/>
        <v>6.2809565321569352E-2</v>
      </c>
      <c r="AH328" s="593">
        <f t="shared" si="155"/>
        <v>-78.903841771830628</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5">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1.0127000727111324</v>
      </c>
      <c r="N329" s="585">
        <f t="shared" si="142"/>
        <v>-0.15853771517280241</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1.6703005215356093</v>
      </c>
      <c r="X329" s="590">
        <f t="shared" si="148"/>
        <v>-122.95691326513061</v>
      </c>
      <c r="Y329" s="593">
        <f t="shared" si="149"/>
        <v>57.043086734869391</v>
      </c>
      <c r="AA329" s="150">
        <f t="shared" si="150"/>
        <v>1000000000</v>
      </c>
      <c r="AB329" s="150">
        <f t="shared" si="151"/>
        <v>575424144</v>
      </c>
      <c r="AD329" s="592">
        <f t="shared" si="152"/>
        <v>27.55479428971741</v>
      </c>
      <c r="AE329" s="593">
        <f t="shared" si="153"/>
        <v>-10.038681349340679</v>
      </c>
      <c r="AG329" s="592">
        <f t="shared" si="154"/>
        <v>1.737228137896326E-2</v>
      </c>
      <c r="AH329" s="593">
        <f t="shared" si="155"/>
        <v>-78.870259261909339</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5">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1.012847539359458</v>
      </c>
      <c r="N330" s="585">
        <f t="shared" si="142"/>
        <v>-0.15944579818741386</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1.6174459774111649</v>
      </c>
      <c r="X330" s="590">
        <f t="shared" si="148"/>
        <v>-123.13652589792225</v>
      </c>
      <c r="Y330" s="593">
        <f t="shared" si="149"/>
        <v>56.863474102077745</v>
      </c>
      <c r="AA330" s="150">
        <f t="shared" si="150"/>
        <v>1000000000</v>
      </c>
      <c r="AB330" s="150">
        <f t="shared" si="151"/>
        <v>582148320.0625</v>
      </c>
      <c r="AD330" s="592">
        <f t="shared" si="152"/>
        <v>27.553914198880062</v>
      </c>
      <c r="AE330" s="593">
        <f t="shared" si="153"/>
        <v>-10.06006392261907</v>
      </c>
      <c r="AG330" s="592">
        <f t="shared" si="154"/>
        <v>-2.883529374460865E-2</v>
      </c>
      <c r="AH330" s="593">
        <f t="shared" si="155"/>
        <v>-78.835744489561009</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5">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1.0129958409732431</v>
      </c>
      <c r="N331" s="585">
        <f t="shared" si="142"/>
        <v>-0.1603536160654887</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1.5648718284445002</v>
      </c>
      <c r="X331" s="590">
        <f t="shared" si="148"/>
        <v>-123.31611729679979</v>
      </c>
      <c r="Y331" s="593">
        <f t="shared" si="149"/>
        <v>56.683882703200211</v>
      </c>
      <c r="AA331" s="150">
        <f t="shared" si="150"/>
        <v>1000000000</v>
      </c>
      <c r="AB331" s="150">
        <f t="shared" si="151"/>
        <v>588911556.25</v>
      </c>
      <c r="AD331" s="592">
        <f t="shared" si="152"/>
        <v>27.553032634966534</v>
      </c>
      <c r="AE331" s="593">
        <f t="shared" si="153"/>
        <v>-10.081649805101437</v>
      </c>
      <c r="AG331" s="592">
        <f t="shared" si="154"/>
        <v>-7.4731030746755925E-2</v>
      </c>
      <c r="AH331" s="593">
        <f t="shared" si="155"/>
        <v>-78.801098436893653</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5">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1.0131449771858274</v>
      </c>
      <c r="N332" s="585">
        <f t="shared" si="142"/>
        <v>-0.16126116742746111</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1.5125747282398279</v>
      </c>
      <c r="X332" s="590">
        <f t="shared" si="148"/>
        <v>-123.49568633528467</v>
      </c>
      <c r="Y332" s="593">
        <f t="shared" si="149"/>
        <v>56.504313664715326</v>
      </c>
      <c r="AA332" s="150">
        <f t="shared" si="150"/>
        <v>1000000000</v>
      </c>
      <c r="AB332" s="150">
        <f t="shared" si="151"/>
        <v>595713852.5625</v>
      </c>
      <c r="AD332" s="592">
        <f t="shared" si="152"/>
        <v>27.552149540191554</v>
      </c>
      <c r="AE332" s="593">
        <f t="shared" si="153"/>
        <v>-10.103435368048043</v>
      </c>
      <c r="AG332" s="592">
        <f t="shared" si="154"/>
        <v>-0.12031827493895585</v>
      </c>
      <c r="AH332" s="593">
        <f t="shared" si="155"/>
        <v>-78.76632402090388</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5">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1.0132949476287034</v>
      </c>
      <c r="N333" s="585">
        <f t="shared" ref="N333:N396" si="174">-ATAN(G333/z_RHP)</f>
        <v>-0.16216845089633122</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1.4605513884840908</v>
      </c>
      <c r="X333" s="590">
        <f t="shared" ref="X333:X396" si="180">((L333+R333+N333+V333)-(J333+P333+T333))*radconv</f>
        <v>-123.67523190613689</v>
      </c>
      <c r="Y333" s="593">
        <f t="shared" ref="Y333:Y396" si="181">IF(X333&gt;0,X333,X333+180)</f>
        <v>56.324768093863113</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-0.16560031545843756</v>
      </c>
      <c r="AH333" s="593">
        <f t="shared" ref="AH333:AH396" si="187">(L333+N333-(J333+V333))*radconv</f>
        <v>-78.731424094452748</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5">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1.0134492689268833</v>
      </c>
      <c r="N334" s="585">
        <f t="shared" si="174"/>
        <v>-0.16309655523635044</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1.4075982171271915</v>
      </c>
      <c r="X334" s="590">
        <f t="shared" si="180"/>
        <v>-123.85892752737351</v>
      </c>
      <c r="Y334" s="593">
        <f t="shared" si="181"/>
        <v>56.14107247262649</v>
      </c>
      <c r="AA334" s="150">
        <f t="shared" si="182"/>
        <v>1000000000</v>
      </c>
      <c r="AB334" s="150">
        <f t="shared" si="183"/>
        <v>609596100</v>
      </c>
      <c r="AD334" s="592">
        <f t="shared" si="184"/>
        <v>27.550357903264846</v>
      </c>
      <c r="AE334" s="593">
        <f t="shared" si="185"/>
        <v>-10.148109373156853</v>
      </c>
      <c r="AG334" s="592">
        <f t="shared" si="186"/>
        <v>-0.21162286739479561</v>
      </c>
      <c r="AH334" s="593">
        <f t="shared" si="187"/>
        <v>-78.695585529761075</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5">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1.0136044629213732</v>
      </c>
      <c r="N335" s="585">
        <f t="shared" si="174"/>
        <v>-0.16402437616940044</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1.3549249017498675</v>
      </c>
      <c r="X335" s="590">
        <f t="shared" si="180"/>
        <v>-124.04259629067717</v>
      </c>
      <c r="Y335" s="593">
        <f t="shared" si="181"/>
        <v>55.957403709322833</v>
      </c>
      <c r="AA335" s="150">
        <f t="shared" si="182"/>
        <v>1000000000</v>
      </c>
      <c r="AB335" s="150">
        <f t="shared" si="183"/>
        <v>616677889</v>
      </c>
      <c r="AD335" s="592">
        <f t="shared" si="184"/>
        <v>27.549449172865728</v>
      </c>
      <c r="AE335" s="593">
        <f t="shared" si="185"/>
        <v>-10.170999780449947</v>
      </c>
      <c r="AG335" s="592">
        <f t="shared" si="186"/>
        <v>-0.2573326482600955</v>
      </c>
      <c r="AH335" s="593">
        <f t="shared" si="187"/>
        <v>-78.659621394660121</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5">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1.0137605292113767</v>
      </c>
      <c r="N336" s="585">
        <f t="shared" si="174"/>
        <v>-0.16495191222857528</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1.3025280995699475</v>
      </c>
      <c r="X336" s="590">
        <f t="shared" si="180"/>
        <v>-124.22623706908618</v>
      </c>
      <c r="Y336" s="593">
        <f t="shared" si="181"/>
        <v>55.773762930913819</v>
      </c>
      <c r="AA336" s="150">
        <f t="shared" si="182"/>
        <v>1000000000</v>
      </c>
      <c r="AB336" s="150">
        <f t="shared" si="183"/>
        <v>623800576</v>
      </c>
      <c r="AD336" s="592">
        <f t="shared" si="184"/>
        <v>27.548538612373704</v>
      </c>
      <c r="AE336" s="593">
        <f t="shared" si="185"/>
        <v>-10.194084735587701</v>
      </c>
      <c r="AG336" s="592">
        <f t="shared" si="186"/>
        <v>-0.3027330075470851</v>
      </c>
      <c r="AH336" s="593">
        <f t="shared" si="187"/>
        <v>-78.623534548618821</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5">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1.0139174673940921</v>
      </c>
      <c r="N337" s="585">
        <f t="shared" si="174"/>
        <v>-0.16587916194983043</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1.2504045258515937</v>
      </c>
      <c r="X337" s="590">
        <f t="shared" si="180"/>
        <v>-124.40984875461625</v>
      </c>
      <c r="Y337" s="593">
        <f t="shared" si="181"/>
        <v>55.590151245383751</v>
      </c>
      <c r="AA337" s="150">
        <f t="shared" si="182"/>
        <v>1000000000</v>
      </c>
      <c r="AB337" s="150">
        <f t="shared" si="183"/>
        <v>630964161</v>
      </c>
      <c r="AD337" s="592">
        <f t="shared" si="184"/>
        <v>27.547626168515134</v>
      </c>
      <c r="AE337" s="593">
        <f t="shared" si="185"/>
        <v>-10.217360767748804</v>
      </c>
      <c r="AG337" s="592">
        <f t="shared" si="186"/>
        <v>-0.34782723854733688</v>
      </c>
      <c r="AH337" s="593">
        <f t="shared" si="187"/>
        <v>-78.587327788312109</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5">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1.0140788737733026</v>
      </c>
      <c r="N338" s="585">
        <f t="shared" si="174"/>
        <v>-0.16682718783220232</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1.1973755752329884</v>
      </c>
      <c r="X338" s="590">
        <f t="shared" si="180"/>
        <v>-124.59760220545202</v>
      </c>
      <c r="Y338" s="593">
        <f t="shared" si="181"/>
        <v>55.40239779454798</v>
      </c>
      <c r="AA338" s="150">
        <f t="shared" si="182"/>
        <v>1000000000</v>
      </c>
      <c r="AB338" s="150">
        <f t="shared" si="183"/>
        <v>638332857.5625</v>
      </c>
      <c r="AD338" s="592">
        <f t="shared" si="184"/>
        <v>27.546690985368024</v>
      </c>
      <c r="AE338" s="593">
        <f t="shared" si="185"/>
        <v>-10.241359904870981</v>
      </c>
      <c r="AG338" s="592">
        <f t="shared" si="186"/>
        <v>-0.39363306954255839</v>
      </c>
      <c r="AH338" s="593">
        <f t="shared" si="187"/>
        <v>-78.550176964542942</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5">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1.0142411912684579</v>
      </c>
      <c r="N339" s="585">
        <f t="shared" si="174"/>
        <v>-0.16777491112510523</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1.1446256443097556</v>
      </c>
      <c r="X339" s="590">
        <f t="shared" si="180"/>
        <v>-124.78532294046394</v>
      </c>
      <c r="Y339" s="593">
        <f t="shared" si="181"/>
        <v>55.214677059536058</v>
      </c>
      <c r="AA339" s="150">
        <f t="shared" si="182"/>
        <v>1000000000</v>
      </c>
      <c r="AB339" s="150">
        <f t="shared" si="183"/>
        <v>645744332.25</v>
      </c>
      <c r="AD339" s="592">
        <f t="shared" si="184"/>
        <v>27.545753724550138</v>
      </c>
      <c r="AE339" s="593">
        <f t="shared" si="185"/>
        <v>-10.265551805177939</v>
      </c>
      <c r="AG339" s="592">
        <f t="shared" si="186"/>
        <v>-0.4391254923441098</v>
      </c>
      <c r="AH339" s="593">
        <f t="shared" si="187"/>
        <v>-78.512906437278332</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5">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1.0144044194421873</v>
      </c>
      <c r="N340" s="585">
        <f t="shared" si="174"/>
        <v>-0.16872233027175271</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1.0921513991479572</v>
      </c>
      <c r="X340" s="590">
        <f t="shared" si="180"/>
        <v>-124.97300983284227</v>
      </c>
      <c r="Y340" s="593">
        <f t="shared" si="181"/>
        <v>55.026990167157734</v>
      </c>
      <c r="AA340" s="150">
        <f t="shared" si="182"/>
        <v>1000000000</v>
      </c>
      <c r="AB340" s="150">
        <f t="shared" si="183"/>
        <v>653198585.0625</v>
      </c>
      <c r="AD340" s="592">
        <f t="shared" si="184"/>
        <v>27.544814334016074</v>
      </c>
      <c r="AE340" s="593">
        <f t="shared" si="185"/>
        <v>-10.289932999905458</v>
      </c>
      <c r="AG340" s="592">
        <f t="shared" si="186"/>
        <v>-0.48430785566458201</v>
      </c>
      <c r="AH340" s="593">
        <f t="shared" si="187"/>
        <v>-78.475519005602592</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5">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1.0145685578549493</v>
      </c>
      <c r="N341" s="585">
        <f t="shared" si="174"/>
        <v>-0.16966944371854148</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1.03994956370674</v>
      </c>
      <c r="X341" s="590">
        <f t="shared" si="180"/>
        <v>-125.16066177447374</v>
      </c>
      <c r="Y341" s="593">
        <f t="shared" si="181"/>
        <v>54.839338225526262</v>
      </c>
      <c r="AA341" s="150">
        <f t="shared" si="182"/>
        <v>1000000000</v>
      </c>
      <c r="AB341" s="150">
        <f t="shared" si="183"/>
        <v>660695616</v>
      </c>
      <c r="AD341" s="592">
        <f t="shared" si="184"/>
        <v>27.543872763276443</v>
      </c>
      <c r="AE341" s="593">
        <f t="shared" si="185"/>
        <v>-10.314500097993838</v>
      </c>
      <c r="AG341" s="592">
        <f t="shared" si="186"/>
        <v>-0.52918345210525353</v>
      </c>
      <c r="AH341" s="593">
        <f t="shared" si="187"/>
        <v>-78.438017407233602</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5">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1.0147375670800607</v>
      </c>
      <c r="N342" s="585">
        <f t="shared" si="174"/>
        <v>-0.17063890474761689</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0.9867773578851331</v>
      </c>
      <c r="X342" s="590">
        <f t="shared" si="180"/>
        <v>-125.3527671781755</v>
      </c>
      <c r="Y342" s="593">
        <f t="shared" si="181"/>
        <v>54.647232821824502</v>
      </c>
      <c r="AA342" s="150">
        <f t="shared" si="182"/>
        <v>1000000000</v>
      </c>
      <c r="AB342" s="150">
        <f t="shared" si="183"/>
        <v>668416389.0625</v>
      </c>
      <c r="AD342" s="592">
        <f t="shared" si="184"/>
        <v>27.542906348972625</v>
      </c>
      <c r="AE342" s="593">
        <f t="shared" si="185"/>
        <v>-10.339844294231863</v>
      </c>
      <c r="AG342" s="592">
        <f t="shared" si="186"/>
        <v>-0.57481850890889885</v>
      </c>
      <c r="AH342" s="593">
        <f t="shared" si="187"/>
        <v>-78.399502833763705</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5">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1.0149075296928727</v>
      </c>
      <c r="N343" s="585">
        <f t="shared" si="174"/>
        <v>-0.17160804198355836</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0.9338839849076751</v>
      </c>
      <c r="X343" s="590">
        <f t="shared" si="180"/>
        <v>-125.54483364489661</v>
      </c>
      <c r="Y343" s="593">
        <f t="shared" si="181"/>
        <v>54.455166355103387</v>
      </c>
      <c r="AA343" s="150">
        <f t="shared" si="182"/>
        <v>1000000000</v>
      </c>
      <c r="AB343" s="150">
        <f t="shared" si="183"/>
        <v>676182012.25</v>
      </c>
      <c r="AD343" s="592">
        <f t="shared" si="184"/>
        <v>27.541937546502595</v>
      </c>
      <c r="AE343" s="593">
        <f t="shared" si="185"/>
        <v>-10.365376442820908</v>
      </c>
      <c r="AG343" s="592">
        <f t="shared" si="186"/>
        <v>-0.62013875221830039</v>
      </c>
      <c r="AH343" s="593">
        <f t="shared" si="187"/>
        <v>-78.360874183293504</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5">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1.0150784452144856</v>
      </c>
      <c r="N344" s="585">
        <f t="shared" si="174"/>
        <v>-0.17257685376899112</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0.88126610801563854</v>
      </c>
      <c r="X344" s="590">
        <f t="shared" si="180"/>
        <v>-125.7368600428986</v>
      </c>
      <c r="Y344" s="593">
        <f t="shared" si="181"/>
        <v>54.263139957101401</v>
      </c>
      <c r="AA344" s="150">
        <f t="shared" si="182"/>
        <v>1000000000</v>
      </c>
      <c r="AB344" s="150">
        <f t="shared" si="183"/>
        <v>683992485.5625</v>
      </c>
      <c r="AD344" s="592">
        <f t="shared" si="184"/>
        <v>27.540966306402023</v>
      </c>
      <c r="AE344" s="593">
        <f t="shared" si="185"/>
        <v>-10.391093142558015</v>
      </c>
      <c r="AG344" s="592">
        <f t="shared" si="186"/>
        <v>-0.66514754202751969</v>
      </c>
      <c r="AH344" s="593">
        <f t="shared" si="187"/>
        <v>-78.322134205777672</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5">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1.0152503131636379</v>
      </c>
      <c r="N345" s="585">
        <f t="shared" si="174"/>
        <v>-0.17354533845009712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0.82892044846385593</v>
      </c>
      <c r="X345" s="590">
        <f t="shared" si="180"/>
        <v>-125.92884525896834</v>
      </c>
      <c r="Y345" s="593">
        <f t="shared" si="181"/>
        <v>54.071154741031663</v>
      </c>
      <c r="AA345" s="150">
        <f t="shared" si="182"/>
        <v>1000000000</v>
      </c>
      <c r="AB345" s="150">
        <f t="shared" si="183"/>
        <v>691847809</v>
      </c>
      <c r="AD345" s="592">
        <f t="shared" si="184"/>
        <v>27.539992580698605</v>
      </c>
      <c r="AE345" s="593">
        <f t="shared" si="185"/>
        <v>-10.416991068417683</v>
      </c>
      <c r="AG345" s="592">
        <f t="shared" si="186"/>
        <v>-0.70984818204691758</v>
      </c>
      <c r="AH345" s="593">
        <f t="shared" si="187"/>
        <v>-78.283285590904029</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5">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1.0154268942893718</v>
      </c>
      <c r="N346" s="585">
        <f t="shared" si="174"/>
        <v>-0.17453450245073596</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0.77571653135761021</v>
      </c>
      <c r="X346" s="590">
        <f t="shared" si="180"/>
        <v>-126.12495342766374</v>
      </c>
      <c r="Y346" s="593">
        <f t="shared" si="181"/>
        <v>53.875046572336259</v>
      </c>
      <c r="AA346" s="150">
        <f t="shared" si="182"/>
        <v>1000000000</v>
      </c>
      <c r="AB346" s="150">
        <f t="shared" si="183"/>
        <v>699919936</v>
      </c>
      <c r="AD346" s="592">
        <f t="shared" si="184"/>
        <v>27.538995106883092</v>
      </c>
      <c r="AE346" s="593">
        <f t="shared" si="185"/>
        <v>-10.443634839780684</v>
      </c>
      <c r="AG346" s="592">
        <f t="shared" si="186"/>
        <v>-0.75520407805820089</v>
      </c>
      <c r="AH346" s="593">
        <f t="shared" si="187"/>
        <v>-78.243484387978029</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5">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1.0156044686088437</v>
      </c>
      <c r="N347" s="585">
        <f t="shared" si="174"/>
        <v>-0.17552332151597716</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0.72279003566543876</v>
      </c>
      <c r="X347" s="590">
        <f t="shared" si="180"/>
        <v>-126.32101631530469</v>
      </c>
      <c r="Y347" s="593">
        <f t="shared" si="181"/>
        <v>53.678983684695311</v>
      </c>
      <c r="AA347" s="150">
        <f t="shared" si="182"/>
        <v>1000000000</v>
      </c>
      <c r="AB347" s="150">
        <f t="shared" si="183"/>
        <v>708038881</v>
      </c>
      <c r="AD347" s="592">
        <f t="shared" si="184"/>
        <v>27.537994941714707</v>
      </c>
      <c r="AE347" s="593">
        <f t="shared" si="185"/>
        <v>-10.470461005782775</v>
      </c>
      <c r="AG347" s="592">
        <f t="shared" si="186"/>
        <v>-0.80024510159485207</v>
      </c>
      <c r="AH347" s="593">
        <f t="shared" si="187"/>
        <v>-78.203575272081252</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5">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1.0157830356011768</v>
      </c>
      <c r="N348" s="585">
        <f t="shared" si="174"/>
        <v>-0.17651179389356816</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0.67013764366547546</v>
      </c>
      <c r="X348" s="590">
        <f t="shared" si="180"/>
        <v>-126.51703279152731</v>
      </c>
      <c r="Y348" s="593">
        <f t="shared" si="181"/>
        <v>53.482967208472687</v>
      </c>
      <c r="AA348" s="150">
        <f t="shared" si="182"/>
        <v>1000000000</v>
      </c>
      <c r="AB348" s="150">
        <f t="shared" si="183"/>
        <v>716204644</v>
      </c>
      <c r="AD348" s="592">
        <f t="shared" si="184"/>
        <v>27.536992038537772</v>
      </c>
      <c r="AE348" s="593">
        <f t="shared" si="185"/>
        <v>-10.49746625288585</v>
      </c>
      <c r="AG348" s="592">
        <f t="shared" si="186"/>
        <v>-0.84497460226532839</v>
      </c>
      <c r="AH348" s="593">
        <f t="shared" si="187"/>
        <v>-78.163560927569563</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5">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1.0159625947429509</v>
      </c>
      <c r="N349" s="585">
        <f t="shared" si="174"/>
        <v>-0.17749991783519475</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0.61775609526924935</v>
      </c>
      <c r="X349" s="590">
        <f t="shared" si="180"/>
        <v>-126.71300174418441</v>
      </c>
      <c r="Y349" s="593">
        <f t="shared" si="181"/>
        <v>53.28699825581559</v>
      </c>
      <c r="AA349" s="150">
        <f t="shared" si="182"/>
        <v>1000000000</v>
      </c>
      <c r="AB349" s="150">
        <f t="shared" si="183"/>
        <v>724417225</v>
      </c>
      <c r="AD349" s="592">
        <f t="shared" si="184"/>
        <v>27.535986352115103</v>
      </c>
      <c r="AE349" s="593">
        <f t="shared" si="185"/>
        <v>-10.524647341587006</v>
      </c>
      <c r="AG349" s="592">
        <f t="shared" si="186"/>
        <v>-0.88939587371105588</v>
      </c>
      <c r="AH349" s="593">
        <f t="shared" si="187"/>
        <v>-78.123443980108107</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5">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1.0161475832176876</v>
      </c>
      <c r="N350" s="585">
        <f t="shared" si="174"/>
        <v>-0.17851189732634348</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0.5643682185283001</v>
      </c>
      <c r="X350" s="590">
        <f t="shared" si="180"/>
        <v>-126.91372342830289</v>
      </c>
      <c r="Y350" s="593">
        <f t="shared" si="181"/>
        <v>53.086276571697113</v>
      </c>
      <c r="AA350" s="150">
        <f t="shared" si="182"/>
        <v>1000000000</v>
      </c>
      <c r="AB350" s="150">
        <f t="shared" si="183"/>
        <v>732879648.0625</v>
      </c>
      <c r="AD350" s="592">
        <f t="shared" si="184"/>
        <v>27.534953084253463</v>
      </c>
      <c r="AE350" s="593">
        <f t="shared" si="185"/>
        <v>-10.552673681281307</v>
      </c>
      <c r="AG350" s="592">
        <f t="shared" si="186"/>
        <v>-0.93458963413308815</v>
      </c>
      <c r="AH350" s="593">
        <f t="shared" si="187"/>
        <v>-78.082240053399389</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5">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1.0163336119522488</v>
      </c>
      <c r="N351" s="585">
        <f t="shared" si="174"/>
        <v>-0.17952350738964848</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0.51125787698546366</v>
      </c>
      <c r="X351" s="590">
        <f t="shared" si="180"/>
        <v>-127.11439292410074</v>
      </c>
      <c r="Y351" s="593">
        <f t="shared" si="181"/>
        <v>52.885607075899259</v>
      </c>
      <c r="AA351" s="150">
        <f t="shared" si="182"/>
        <v>1000000000</v>
      </c>
      <c r="AB351" s="150">
        <f t="shared" si="183"/>
        <v>741391212.25</v>
      </c>
      <c r="AD351" s="592">
        <f t="shared" si="184"/>
        <v>27.533916803274856</v>
      </c>
      <c r="AE351" s="593">
        <f t="shared" si="185"/>
        <v>-10.580877933372987</v>
      </c>
      <c r="AG351" s="592">
        <f t="shared" si="186"/>
        <v>-0.97946669509414486</v>
      </c>
      <c r="AH351" s="593">
        <f t="shared" si="187"/>
        <v>-78.040933830081386</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5">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1.0165206803755145</v>
      </c>
      <c r="N352" s="585">
        <f t="shared" si="174"/>
        <v>-0.18053474615803011</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0.45842174463130719</v>
      </c>
      <c r="X352" s="590">
        <f t="shared" si="180"/>
        <v>-127.31500909217273</v>
      </c>
      <c r="Y352" s="593">
        <f t="shared" si="181"/>
        <v>52.68499090782727</v>
      </c>
      <c r="AA352" s="150">
        <f t="shared" si="182"/>
        <v>1000000000</v>
      </c>
      <c r="AB352" s="150">
        <f t="shared" si="183"/>
        <v>749951917.5625</v>
      </c>
      <c r="AD352" s="592">
        <f t="shared" si="184"/>
        <v>27.532877464861699</v>
      </c>
      <c r="AE352" s="593">
        <f t="shared" si="185"/>
        <v>-10.6092568426269</v>
      </c>
      <c r="AG352" s="592">
        <f t="shared" si="186"/>
        <v>-1.024030423802696</v>
      </c>
      <c r="AH352" s="593">
        <f t="shared" si="187"/>
        <v>-77.999527952431251</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5">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1.0167087879135954</v>
      </c>
      <c r="N353" s="585">
        <f t="shared" si="174"/>
        <v>-0.18154561176881653</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0.40585655334561754</v>
      </c>
      <c r="X353" s="590">
        <f t="shared" si="180"/>
        <v>-127.51557081124413</v>
      </c>
      <c r="Y353" s="593">
        <f t="shared" si="181"/>
        <v>52.484429188755868</v>
      </c>
      <c r="AA353" s="150">
        <f t="shared" si="182"/>
        <v>1000000000</v>
      </c>
      <c r="AB353" s="150">
        <f t="shared" si="183"/>
        <v>758561764</v>
      </c>
      <c r="AD353" s="592">
        <f t="shared" si="184"/>
        <v>27.531835026060165</v>
      </c>
      <c r="AE353" s="593">
        <f t="shared" si="185"/>
        <v>-10.637807226555442</v>
      </c>
      <c r="AG353" s="592">
        <f t="shared" si="186"/>
        <v>-1.0682841312018614</v>
      </c>
      <c r="AH353" s="593">
        <f t="shared" si="187"/>
        <v>-77.958025004925418</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5">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1.0169024717307042</v>
      </c>
      <c r="N354" s="585">
        <f t="shared" si="174"/>
        <v>-0.18258027217142889</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0.35231120906038416</v>
      </c>
      <c r="X354" s="590">
        <f t="shared" si="180"/>
        <v>-127.7208730865503</v>
      </c>
      <c r="Y354" s="593">
        <f t="shared" si="181"/>
        <v>52.279126913449701</v>
      </c>
      <c r="AA354" s="150">
        <f t="shared" si="182"/>
        <v>1000000000</v>
      </c>
      <c r="AB354" s="150">
        <f t="shared" si="183"/>
        <v>767428506.25</v>
      </c>
      <c r="AD354" s="592">
        <f t="shared" si="184"/>
        <v>27.530764392520112</v>
      </c>
      <c r="AE354" s="593">
        <f t="shared" si="185"/>
        <v>-10.667215061540251</v>
      </c>
      <c r="AG354" s="592">
        <f t="shared" si="186"/>
        <v>-1.1132787048281241</v>
      </c>
      <c r="AH354" s="593">
        <f t="shared" si="187"/>
        <v>-77.91543122320131</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5">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1.0170972437491461</v>
      </c>
      <c r="N355" s="585">
        <f t="shared" si="174"/>
        <v>-0.18361453741023859</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0.2990431702250621</v>
      </c>
      <c r="X355" s="590">
        <f t="shared" si="180"/>
        <v>-127.92611595354404</v>
      </c>
      <c r="Y355" s="593">
        <f t="shared" si="181"/>
        <v>52.073884046455959</v>
      </c>
      <c r="AA355" s="150">
        <f t="shared" si="182"/>
        <v>1000000000</v>
      </c>
      <c r="AB355" s="150">
        <f t="shared" si="183"/>
        <v>776346769</v>
      </c>
      <c r="AD355" s="592">
        <f t="shared" si="184"/>
        <v>27.529690421515205</v>
      </c>
      <c r="AE355" s="593">
        <f t="shared" si="185"/>
        <v>-10.696796145829181</v>
      </c>
      <c r="AG355" s="592">
        <f t="shared" si="186"/>
        <v>-1.1579550964036083</v>
      </c>
      <c r="AH355" s="593">
        <f t="shared" si="187"/>
        <v>-77.872740976749782</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5">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1.0172931033438768</v>
      </c>
      <c r="N356" s="585">
        <f t="shared" si="174"/>
        <v>-0.18464840550014266</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0.24604910865319729</v>
      </c>
      <c r="X356" s="590">
        <f t="shared" si="180"/>
        <v>-128.13129826473039</v>
      </c>
      <c r="Y356" s="593">
        <f t="shared" si="181"/>
        <v>51.86870173526961</v>
      </c>
      <c r="AA356" s="150">
        <f t="shared" si="182"/>
        <v>1000000000</v>
      </c>
      <c r="AB356" s="150">
        <f t="shared" si="183"/>
        <v>785316552.25</v>
      </c>
      <c r="AD356" s="592">
        <f t="shared" si="184"/>
        <v>27.528613071087147</v>
      </c>
      <c r="AE356" s="593">
        <f t="shared" si="185"/>
        <v>-10.726547286936469</v>
      </c>
      <c r="AG356" s="592">
        <f t="shared" si="186"/>
        <v>-1.2023166850641522</v>
      </c>
      <c r="AH356" s="593">
        <f t="shared" si="187"/>
        <v>-77.829956861872304</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5">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1.017490049886844</v>
      </c>
      <c r="N357" s="585">
        <f t="shared" si="174"/>
        <v>-0.18568187446095852</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0.19332575416758258</v>
      </c>
      <c r="X357" s="590">
        <f t="shared" si="180"/>
        <v>-128.33641889064157</v>
      </c>
      <c r="Y357" s="593">
        <f t="shared" si="181"/>
        <v>51.663581109358432</v>
      </c>
      <c r="AA357" s="150">
        <f t="shared" si="182"/>
        <v>1000000000</v>
      </c>
      <c r="AB357" s="150">
        <f t="shared" si="183"/>
        <v>794337856</v>
      </c>
      <c r="AD357" s="592">
        <f t="shared" si="184"/>
        <v>27.527532300585804</v>
      </c>
      <c r="AE357" s="593">
        <f t="shared" si="185"/>
        <v>-10.756465363687292</v>
      </c>
      <c r="AG357" s="592">
        <f t="shared" si="186"/>
        <v>-1.2463667935162364</v>
      </c>
      <c r="AH357" s="593">
        <f t="shared" si="187"/>
        <v>-77.787081418063352</v>
      </c>
      <c r="AJ357" s="150">
        <f t="shared" si="188"/>
        <v>0</v>
      </c>
      <c r="AK357" s="150">
        <f t="shared" si="200"/>
        <v>0</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5">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1.0176924133187013</v>
      </c>
      <c r="N358" s="585">
        <f t="shared" si="174"/>
        <v>-0.18673746579334463</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0.13972895238536265</v>
      </c>
      <c r="X358" s="590">
        <f t="shared" si="180"/>
        <v>-128.54594767755626</v>
      </c>
      <c r="Y358" s="593">
        <f t="shared" si="181"/>
        <v>51.454052322443744</v>
      </c>
      <c r="AA358" s="150">
        <f t="shared" si="182"/>
        <v>1000000000</v>
      </c>
      <c r="AB358" s="150">
        <f t="shared" si="183"/>
        <v>803609104</v>
      </c>
      <c r="AD358" s="592">
        <f t="shared" si="184"/>
        <v>27.526424388150335</v>
      </c>
      <c r="AE358" s="593">
        <f t="shared" si="185"/>
        <v>-10.787205120449357</v>
      </c>
      <c r="AG358" s="592">
        <f t="shared" si="186"/>
        <v>-1.2910591527985107</v>
      </c>
      <c r="AH358" s="593">
        <f t="shared" si="187"/>
        <v>-77.743179242133365</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5">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1.0178959102861762</v>
      </c>
      <c r="N359" s="585">
        <f t="shared" si="174"/>
        <v>-0.1877926362350735</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8.6408069400356946E-2</v>
      </c>
      <c r="X359" s="590">
        <f t="shared" si="180"/>
        <v>-128.75540973097949</v>
      </c>
      <c r="Y359" s="593">
        <f t="shared" si="181"/>
        <v>51.244590269020506</v>
      </c>
      <c r="AA359" s="150">
        <f t="shared" si="182"/>
        <v>1000000000</v>
      </c>
      <c r="AB359" s="150">
        <f t="shared" si="183"/>
        <v>812934144</v>
      </c>
      <c r="AD359" s="592">
        <f t="shared" si="184"/>
        <v>27.525312823035009</v>
      </c>
      <c r="AE359" s="593">
        <f t="shared" si="185"/>
        <v>-10.818112803469987</v>
      </c>
      <c r="AG359" s="592">
        <f t="shared" si="186"/>
        <v>-1.3354331382347855</v>
      </c>
      <c r="AH359" s="593">
        <f t="shared" si="187"/>
        <v>-77.699186896619864</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5">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1.0181005401095586</v>
      </c>
      <c r="N360" s="585">
        <f t="shared" si="174"/>
        <v>-0.18884738368961301</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3.3359795614742269E-2</v>
      </c>
      <c r="X360" s="590">
        <f t="shared" si="180"/>
        <v>-128.96480390143614</v>
      </c>
      <c r="Y360" s="593">
        <f t="shared" si="181"/>
        <v>51.035196098563858</v>
      </c>
      <c r="AA360" s="150">
        <f t="shared" si="182"/>
        <v>1000000000</v>
      </c>
      <c r="AB360" s="150">
        <f t="shared" si="183"/>
        <v>822312976</v>
      </c>
      <c r="AD360" s="592">
        <f t="shared" si="184"/>
        <v>27.524197565827031</v>
      </c>
      <c r="AE360" s="593">
        <f t="shared" si="185"/>
        <v>-10.849185300811921</v>
      </c>
      <c r="AG360" s="592">
        <f t="shared" si="186"/>
        <v>-1.3794921202736354</v>
      </c>
      <c r="AH360" s="593">
        <f t="shared" si="187"/>
        <v>-77.655106916965963</v>
      </c>
      <c r="AJ360" s="150">
        <f t="shared" si="188"/>
        <v>28676</v>
      </c>
      <c r="AK360" s="150">
        <f t="shared" si="200"/>
        <v>51.035196098563858</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5">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1.0183063021059024</v>
      </c>
      <c r="N361" s="585">
        <f t="shared" si="174"/>
        <v>-0.18990170606587625</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-1.9419120916199913E-2</v>
      </c>
      <c r="X361" s="590">
        <f t="shared" si="180"/>
        <v>-129.1741290572524</v>
      </c>
      <c r="Y361" s="593">
        <f t="shared" si="181"/>
        <v>50.825870942747599</v>
      </c>
      <c r="AA361" s="150">
        <f t="shared" si="182"/>
        <v>28840</v>
      </c>
      <c r="AB361" s="150">
        <f t="shared" si="183"/>
        <v>831745600</v>
      </c>
      <c r="AD361" s="592">
        <f t="shared" si="184"/>
        <v>27.523078578358437</v>
      </c>
      <c r="AE361" s="593">
        <f t="shared" si="185"/>
        <v>-10.880419569867366</v>
      </c>
      <c r="AG361" s="592">
        <f t="shared" si="186"/>
        <v>-1.4232394132354218</v>
      </c>
      <c r="AH361" s="593">
        <f t="shared" si="187"/>
        <v>-77.61094178322476</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5">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1.0185182559009183</v>
      </c>
      <c r="N362" s="585">
        <f t="shared" si="174"/>
        <v>-0.1909813006855996</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-7.3209376240973317E-2</v>
      </c>
      <c r="X362" s="590">
        <f t="shared" si="180"/>
        <v>-129.38848697989434</v>
      </c>
      <c r="Y362" s="593">
        <f t="shared" si="181"/>
        <v>50.611513020105662</v>
      </c>
      <c r="AA362" s="150">
        <f t="shared" si="182"/>
        <v>29008</v>
      </c>
      <c r="AB362" s="150">
        <f t="shared" si="183"/>
        <v>841464064</v>
      </c>
      <c r="AD362" s="592">
        <f t="shared" si="184"/>
        <v>27.521928392037417</v>
      </c>
      <c r="AE362" s="593">
        <f t="shared" si="185"/>
        <v>-10.912580279048235</v>
      </c>
      <c r="AG362" s="592">
        <f t="shared" si="186"/>
        <v>-1.467733935108023</v>
      </c>
      <c r="AH362" s="593">
        <f t="shared" si="187"/>
        <v>-77.565613692070116</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5">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1.0187313963091802</v>
      </c>
      <c r="N363" s="585">
        <f t="shared" si="174"/>
        <v>-0.19206044481406043</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-0.12672370312653589</v>
      </c>
      <c r="X363" s="590">
        <f t="shared" si="180"/>
        <v>-129.60277013162903</v>
      </c>
      <c r="Y363" s="593">
        <f t="shared" si="181"/>
        <v>50.397229868370971</v>
      </c>
      <c r="AA363" s="150">
        <f t="shared" si="182"/>
        <v>29176</v>
      </c>
      <c r="AB363" s="150">
        <f t="shared" si="183"/>
        <v>851238976</v>
      </c>
      <c r="AD363" s="592">
        <f t="shared" si="184"/>
        <v>27.520774214018001</v>
      </c>
      <c r="AE363" s="593">
        <f t="shared" si="185"/>
        <v>-10.944904498594717</v>
      </c>
      <c r="AG363" s="592">
        <f t="shared" si="186"/>
        <v>-1.5119082437869382</v>
      </c>
      <c r="AH363" s="593">
        <f t="shared" si="187"/>
        <v>-77.520201339120305</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5">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1.0189457225860508</v>
      </c>
      <c r="N364" s="585">
        <f t="shared" si="174"/>
        <v>-0.19313913622130938</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-0.17996541761250712</v>
      </c>
      <c r="X364" s="590">
        <f t="shared" si="180"/>
        <v>-129.81697735128182</v>
      </c>
      <c r="Y364" s="593">
        <f t="shared" si="181"/>
        <v>50.183022648718179</v>
      </c>
      <c r="AA364" s="150">
        <f t="shared" si="182"/>
        <v>29344</v>
      </c>
      <c r="AB364" s="150">
        <f t="shared" si="183"/>
        <v>861070336</v>
      </c>
      <c r="AD364" s="592">
        <f t="shared" si="184"/>
        <v>27.51961600706835</v>
      </c>
      <c r="AE364" s="593">
        <f t="shared" si="185"/>
        <v>-10.977389171539752</v>
      </c>
      <c r="AG364" s="592">
        <f t="shared" si="186"/>
        <v>-1.5557657270483127</v>
      </c>
      <c r="AH364" s="593">
        <f t="shared" si="187"/>
        <v>-77.474707219317864</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5">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1.0191612339833769</v>
      </c>
      <c r="N365" s="585">
        <f t="shared" si="174"/>
        <v>-0.19421737268348202</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-0.23293777785627534</v>
      </c>
      <c r="X365" s="590">
        <f t="shared" si="180"/>
        <v>-130.03110749546209</v>
      </c>
      <c r="Y365" s="593">
        <f t="shared" si="181"/>
        <v>49.968892504537905</v>
      </c>
      <c r="AA365" s="150">
        <f t="shared" si="182"/>
        <v>29512</v>
      </c>
      <c r="AB365" s="150">
        <f t="shared" si="183"/>
        <v>870958144</v>
      </c>
      <c r="AD365" s="592">
        <f t="shared" si="184"/>
        <v>27.518453735153535</v>
      </c>
      <c r="AE365" s="593">
        <f t="shared" si="185"/>
        <v>-11.010031309004837</v>
      </c>
      <c r="AG365" s="592">
        <f t="shared" si="186"/>
        <v>-1.5993097162732406</v>
      </c>
      <c r="AH365" s="593">
        <f t="shared" si="187"/>
        <v>-77.429133773028596</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5">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1.0193831036016383</v>
      </c>
      <c r="N366" s="585">
        <f t="shared" si="174"/>
        <v>-0.19532080780451683</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-0.28689567721177833</v>
      </c>
      <c r="X366" s="590">
        <f t="shared" si="180"/>
        <v>-130.2502549506778</v>
      </c>
      <c r="Y366" s="593">
        <f t="shared" si="181"/>
        <v>49.7497450493222</v>
      </c>
      <c r="AA366" s="150">
        <f t="shared" si="182"/>
        <v>29684</v>
      </c>
      <c r="AB366" s="150">
        <f t="shared" si="183"/>
        <v>881139856</v>
      </c>
      <c r="AD366" s="592">
        <f t="shared" si="184"/>
        <v>27.517259542390072</v>
      </c>
      <c r="AE366" s="593">
        <f t="shared" si="185"/>
        <v>-11.043610721558505</v>
      </c>
      <c r="AG366" s="592">
        <f t="shared" si="186"/>
        <v>-1.6435691088358271</v>
      </c>
      <c r="AH366" s="593">
        <f t="shared" si="187"/>
        <v>-77.382395555145209</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5">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1.0196062138481872</v>
      </c>
      <c r="N367" s="585">
        <f t="shared" si="174"/>
        <v>-0.19642376136060682</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-0.34057797462341144</v>
      </c>
      <c r="X367" s="590">
        <f t="shared" si="180"/>
        <v>-130.46931924626571</v>
      </c>
      <c r="Y367" s="593">
        <f t="shared" si="181"/>
        <v>49.530680753734288</v>
      </c>
      <c r="AA367" s="150">
        <f t="shared" si="182"/>
        <v>29856</v>
      </c>
      <c r="AB367" s="150">
        <f t="shared" si="183"/>
        <v>891380736</v>
      </c>
      <c r="AD367" s="592">
        <f t="shared" si="184"/>
        <v>27.51606101601919</v>
      </c>
      <c r="AE367" s="593">
        <f t="shared" si="185"/>
        <v>-11.077349056281593</v>
      </c>
      <c r="AG367" s="592">
        <f t="shared" si="186"/>
        <v>-1.6875067926605651</v>
      </c>
      <c r="AH367" s="593">
        <f t="shared" si="187"/>
        <v>-77.335579196270643</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5">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1.0198305639087795</v>
      </c>
      <c r="N368" s="585">
        <f t="shared" si="174"/>
        <v>-0.1975262309851944</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-0.39398798650659322</v>
      </c>
      <c r="X368" s="590">
        <f t="shared" si="180"/>
        <v>-130.68829921042405</v>
      </c>
      <c r="Y368" s="593">
        <f t="shared" si="181"/>
        <v>49.311700789575951</v>
      </c>
      <c r="AA368" s="150">
        <f t="shared" si="182"/>
        <v>30028</v>
      </c>
      <c r="AB368" s="150">
        <f t="shared" si="183"/>
        <v>901680784</v>
      </c>
      <c r="AD368" s="592">
        <f t="shared" si="184"/>
        <v>27.514858121014566</v>
      </c>
      <c r="AE368" s="593">
        <f t="shared" si="185"/>
        <v>-11.111243315172883</v>
      </c>
      <c r="AG368" s="592">
        <f t="shared" si="186"/>
        <v>-1.7311261673022398</v>
      </c>
      <c r="AH368" s="593">
        <f t="shared" si="187"/>
        <v>-77.28868714704646</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5">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1.0200561529653656</v>
      </c>
      <c r="N369" s="585">
        <f t="shared" si="174"/>
        <v>-0.19862821431850383</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-0.44712897130005391</v>
      </c>
      <c r="X369" s="590">
        <f t="shared" si="180"/>
        <v>-130.90719368910567</v>
      </c>
      <c r="Y369" s="593">
        <f t="shared" si="181"/>
        <v>49.092806310894332</v>
      </c>
      <c r="AA369" s="150">
        <f t="shared" si="182"/>
        <v>30200</v>
      </c>
      <c r="AB369" s="150">
        <f t="shared" si="183"/>
        <v>912040000</v>
      </c>
      <c r="AD369" s="592">
        <f t="shared" si="184"/>
        <v>27.513650823498253</v>
      </c>
      <c r="AE369" s="593">
        <f t="shared" si="185"/>
        <v>-11.145290566943475</v>
      </c>
      <c r="AG369" s="592">
        <f t="shared" si="186"/>
        <v>-1.7744305757860424</v>
      </c>
      <c r="AH369" s="593">
        <f t="shared" si="187"/>
        <v>-77.241721804443628</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5">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1.0202879393428628</v>
      </c>
      <c r="N370" s="585">
        <f t="shared" si="174"/>
        <v>-0.19975371869285036</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-0.50115399496603419</v>
      </c>
      <c r="X370" s="590">
        <f t="shared" si="180"/>
        <v>-131.13077109242352</v>
      </c>
      <c r="Y370" s="593">
        <f t="shared" si="181"/>
        <v>48.869228907576485</v>
      </c>
      <c r="AA370" s="150">
        <f t="shared" si="182"/>
        <v>30375.75</v>
      </c>
      <c r="AB370" s="150">
        <f t="shared" si="183"/>
        <v>922686188.0625</v>
      </c>
      <c r="AD370" s="592">
        <f t="shared" si="184"/>
        <v>27.512412622465927</v>
      </c>
      <c r="AE370" s="593">
        <f t="shared" si="185"/>
        <v>-11.18023517858648</v>
      </c>
      <c r="AG370" s="592">
        <f t="shared" si="186"/>
        <v>-1.8183572000249217</v>
      </c>
      <c r="AH370" s="593">
        <f t="shared" si="187"/>
        <v>-77.193659239714663</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5">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1.0205210175923527</v>
      </c>
      <c r="N371" s="585">
        <f t="shared" si="174"/>
        <v>-0.2008787103806545</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-0.55490483163723991</v>
      </c>
      <c r="X371" s="590">
        <f t="shared" si="180"/>
        <v>-131.35425686089232</v>
      </c>
      <c r="Y371" s="593">
        <f t="shared" si="181"/>
        <v>48.64574313910768</v>
      </c>
      <c r="AA371" s="150">
        <f t="shared" si="182"/>
        <v>30551.5</v>
      </c>
      <c r="AB371" s="150">
        <f t="shared" si="183"/>
        <v>933394152.25</v>
      </c>
      <c r="AD371" s="592">
        <f t="shared" si="184"/>
        <v>27.511169756850702</v>
      </c>
      <c r="AE371" s="593">
        <f t="shared" si="185"/>
        <v>-11.215333544352314</v>
      </c>
      <c r="AG371" s="592">
        <f t="shared" si="186"/>
        <v>-1.8619618561998035</v>
      </c>
      <c r="AH371" s="593">
        <f t="shared" si="187"/>
        <v>-77.145525045480852</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5">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1.0207553868288808</v>
      </c>
      <c r="N372" s="585">
        <f t="shared" si="174"/>
        <v>-0.20200318688650148</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-0.60838477844452343</v>
      </c>
      <c r="X372" s="590">
        <f t="shared" si="180"/>
        <v>-131.57764981812235</v>
      </c>
      <c r="Y372" s="593">
        <f t="shared" si="181"/>
        <v>48.422350181877647</v>
      </c>
      <c r="AA372" s="150">
        <f t="shared" si="182"/>
        <v>30727.25</v>
      </c>
      <c r="AB372" s="150">
        <f t="shared" si="183"/>
        <v>944163892.5625</v>
      </c>
      <c r="AD372" s="592">
        <f t="shared" si="184"/>
        <v>27.509922193983257</v>
      </c>
      <c r="AE372" s="593">
        <f t="shared" si="185"/>
        <v>-11.250582740870088</v>
      </c>
      <c r="AG372" s="592">
        <f t="shared" si="186"/>
        <v>-1.9052479360885077</v>
      </c>
      <c r="AH372" s="593">
        <f t="shared" si="187"/>
        <v>-77.09732161460596</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5">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1.020991046163406</v>
      </c>
      <c r="N373" s="585">
        <f t="shared" si="174"/>
        <v>-0.20312714572247287</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-0.66159707489896125</v>
      </c>
      <c r="X373" s="590">
        <f t="shared" si="180"/>
        <v>-131.80094880534153</v>
      </c>
      <c r="Y373" s="593">
        <f t="shared" si="181"/>
        <v>48.199051194658466</v>
      </c>
      <c r="AA373" s="150">
        <f t="shared" si="182"/>
        <v>30903</v>
      </c>
      <c r="AB373" s="150">
        <f t="shared" si="183"/>
        <v>954995409</v>
      </c>
      <c r="AD373" s="592">
        <f t="shared" si="184"/>
        <v>27.508669902287831</v>
      </c>
      <c r="AE373" s="593">
        <f t="shared" si="185"/>
        <v>-11.285979909625937</v>
      </c>
      <c r="AG373" s="592">
        <f t="shared" si="186"/>
        <v>-1.9482187752456894</v>
      </c>
      <c r="AH373" s="593">
        <f t="shared" si="187"/>
        <v>-77.049051287562321</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5">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1.0212337405678815</v>
      </c>
      <c r="N374" s="585">
        <f t="shared" si="174"/>
        <v>-0.2042777450268462</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-0.71582204391760651</v>
      </c>
      <c r="X374" s="590">
        <f t="shared" si="180"/>
        <v>-132.02954902702089</v>
      </c>
      <c r="Y374" s="593">
        <f t="shared" si="181"/>
        <v>47.970450972979108</v>
      </c>
      <c r="AA374" s="150">
        <f t="shared" si="182"/>
        <v>31083</v>
      </c>
      <c r="AB374" s="150">
        <f t="shared" si="183"/>
        <v>966152889</v>
      </c>
      <c r="AD374" s="592">
        <f t="shared" si="184"/>
        <v>27.507382393955734</v>
      </c>
      <c r="AE374" s="593">
        <f t="shared" si="185"/>
        <v>-11.322383517686143</v>
      </c>
      <c r="AG374" s="592">
        <f t="shared" si="186"/>
        <v>-1.9919053984975708</v>
      </c>
      <c r="AH374" s="593">
        <f t="shared" si="187"/>
        <v>-76.99954673353092</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5">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1.021477786318528</v>
      </c>
      <c r="N375" s="585">
        <f t="shared" si="174"/>
        <v>-0.20542779606366207</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-0.76977296010765373</v>
      </c>
      <c r="X375" s="590">
        <f t="shared" si="180"/>
        <v>-132.25804827349421</v>
      </c>
      <c r="Y375" s="593">
        <f t="shared" si="181"/>
        <v>47.741951726505789</v>
      </c>
      <c r="AA375" s="150">
        <f t="shared" si="182"/>
        <v>31263</v>
      </c>
      <c r="AB375" s="150">
        <f t="shared" si="183"/>
        <v>977375169</v>
      </c>
      <c r="AD375" s="592">
        <f t="shared" si="184"/>
        <v>27.50608986164201</v>
      </c>
      <c r="AE375" s="593">
        <f t="shared" si="185"/>
        <v>-11.358936472385674</v>
      </c>
      <c r="AG375" s="592">
        <f t="shared" si="186"/>
        <v>-2.0352682572819987</v>
      </c>
      <c r="AH375" s="593">
        <f t="shared" si="187"/>
        <v>-76.949976815913061</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5">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1.0217231824470101</v>
      </c>
      <c r="N376" s="585">
        <f t="shared" si="174"/>
        <v>-0.20657729618473269</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-0.82345312425143513</v>
      </c>
      <c r="X376" s="590">
        <f t="shared" si="180"/>
        <v>-132.48644535474983</v>
      </c>
      <c r="Y376" s="593">
        <f t="shared" si="181"/>
        <v>47.513554645250167</v>
      </c>
      <c r="AA376" s="150">
        <f t="shared" si="182"/>
        <v>31443</v>
      </c>
      <c r="AB376" s="150">
        <f t="shared" si="183"/>
        <v>988662249</v>
      </c>
      <c r="AD376" s="592">
        <f t="shared" si="184"/>
        <v>27.504792274759513</v>
      </c>
      <c r="AE376" s="593">
        <f t="shared" si="185"/>
        <v>-11.395635902596089</v>
      </c>
      <c r="AG376" s="592">
        <f t="shared" si="186"/>
        <v>-2.0783107598495514</v>
      </c>
      <c r="AH376" s="593">
        <f t="shared" si="187"/>
        <v>-76.900343887343936</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5">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1.021969927980567</v>
      </c>
      <c r="N377" s="585">
        <f t="shared" si="174"/>
        <v>-0.2077262427502303</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-0.87686577932919674</v>
      </c>
      <c r="X377" s="590">
        <f t="shared" si="180"/>
        <v>-132.71473909845545</v>
      </c>
      <c r="Y377" s="593">
        <f t="shared" si="181"/>
        <v>47.285260901544547</v>
      </c>
      <c r="AA377" s="150">
        <f t="shared" si="182"/>
        <v>31623</v>
      </c>
      <c r="AB377" s="150">
        <f t="shared" si="183"/>
        <v>1000014129</v>
      </c>
      <c r="AD377" s="592">
        <f t="shared" si="184"/>
        <v>27.503489603772621</v>
      </c>
      <c r="AE377" s="593">
        <f t="shared" si="185"/>
        <v>-11.432479000834451</v>
      </c>
      <c r="AG377" s="592">
        <f t="shared" si="186"/>
        <v>-2.1210362580090831</v>
      </c>
      <c r="AH377" s="593">
        <f t="shared" si="187"/>
        <v>-76.850650248811704</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5">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1.0222235504491441</v>
      </c>
      <c r="N378" s="585">
        <f t="shared" si="174"/>
        <v>-0.20890014657761954</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-0.93119220778531653</v>
      </c>
      <c r="X378" s="590">
        <f t="shared" si="180"/>
        <v>-132.94799802623496</v>
      </c>
      <c r="Y378" s="593">
        <f t="shared" si="181"/>
        <v>47.052001973765044</v>
      </c>
      <c r="AA378" s="150">
        <f t="shared" si="182"/>
        <v>31807</v>
      </c>
      <c r="AB378" s="150">
        <f t="shared" si="183"/>
        <v>1011685249</v>
      </c>
      <c r="AD378" s="592">
        <f t="shared" si="184"/>
        <v>27.502152700022581</v>
      </c>
      <c r="AE378" s="593">
        <f t="shared" si="185"/>
        <v>-11.470286468526837</v>
      </c>
      <c r="AG378" s="592">
        <f t="shared" si="186"/>
        <v>-2.1643869944604828</v>
      </c>
      <c r="AH378" s="593">
        <f t="shared" si="187"/>
        <v>-76.799791901842866</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5">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1.0224785808931189</v>
      </c>
      <c r="N379" s="585">
        <f t="shared" si="174"/>
        <v>-0.21007346642223781</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-0.98524577933161506</v>
      </c>
      <c r="X379" s="590">
        <f t="shared" si="180"/>
        <v>-133.18114655023814</v>
      </c>
      <c r="Y379" s="593">
        <f t="shared" si="181"/>
        <v>46.81885344976186</v>
      </c>
      <c r="AA379" s="150">
        <f t="shared" si="182"/>
        <v>31991</v>
      </c>
      <c r="AB379" s="150">
        <f t="shared" si="183"/>
        <v>1023424081</v>
      </c>
      <c r="AD379" s="592">
        <f t="shared" si="184"/>
        <v>27.500810424499864</v>
      </c>
      <c r="AE379" s="593">
        <f t="shared" si="185"/>
        <v>-11.508238323811598</v>
      </c>
      <c r="AG379" s="592">
        <f t="shared" si="186"/>
        <v>-2.2074133885642331</v>
      </c>
      <c r="AH379" s="593">
        <f t="shared" si="187"/>
        <v>-76.748874819728783</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5">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1.0227350182592074</v>
      </c>
      <c r="N380" s="585">
        <f t="shared" si="174"/>
        <v>-0.2112461994915957</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-1.0390297791539036</v>
      </c>
      <c r="X380" s="590">
        <f t="shared" si="180"/>
        <v>-133.41418347297875</v>
      </c>
      <c r="Y380" s="593">
        <f t="shared" si="181"/>
        <v>46.585816527021251</v>
      </c>
      <c r="AA380" s="150">
        <f t="shared" si="182"/>
        <v>32175</v>
      </c>
      <c r="AB380" s="150">
        <f t="shared" si="183"/>
        <v>1035230625</v>
      </c>
      <c r="AD380" s="592">
        <f t="shared" si="184"/>
        <v>27.499462748841704</v>
      </c>
      <c r="AE380" s="593">
        <f t="shared" si="185"/>
        <v>-11.546331762621069</v>
      </c>
      <c r="AG380" s="592">
        <f t="shared" si="186"/>
        <v>-2.2501188458972714</v>
      </c>
      <c r="AH380" s="593">
        <f t="shared" si="187"/>
        <v>-76.697901301849015</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5">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1.0229928614893753</v>
      </c>
      <c r="N381" s="585">
        <f t="shared" si="174"/>
        <v>-0.21241834300245216</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-1.0925474348958337</v>
      </c>
      <c r="X381" s="590">
        <f t="shared" si="180"/>
        <v>-133.6471076146118</v>
      </c>
      <c r="Y381" s="593">
        <f t="shared" si="181"/>
        <v>46.352892385388202</v>
      </c>
      <c r="AA381" s="150">
        <f t="shared" si="182"/>
        <v>32359</v>
      </c>
      <c r="AB381" s="150">
        <f t="shared" si="183"/>
        <v>1047104881</v>
      </c>
      <c r="AD381" s="592">
        <f t="shared" si="184"/>
        <v>27.498109645689063</v>
      </c>
      <c r="AE381" s="593">
        <f t="shared" si="185"/>
        <v>-11.584564042868967</v>
      </c>
      <c r="AG381" s="592">
        <f t="shared" si="186"/>
        <v>-2.2925067158074182</v>
      </c>
      <c r="AH381" s="593">
        <f t="shared" si="187"/>
        <v>-76.646873597031956</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5">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1.0232584674153571</v>
      </c>
      <c r="N382" s="585">
        <f t="shared" si="174"/>
        <v>-0.21361853880397655</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-1.1471010670004693</v>
      </c>
      <c r="X382" s="590">
        <f t="shared" si="180"/>
        <v>-133.8856101030851</v>
      </c>
      <c r="Y382" s="593">
        <f t="shared" si="181"/>
        <v>46.114389896914901</v>
      </c>
      <c r="AA382" s="150">
        <f t="shared" si="182"/>
        <v>32547.5</v>
      </c>
      <c r="AB382" s="150">
        <f t="shared" si="183"/>
        <v>1059339756.25</v>
      </c>
      <c r="AD382" s="592">
        <f t="shared" si="184"/>
        <v>27.496717794534405</v>
      </c>
      <c r="AE382" s="593">
        <f t="shared" si="185"/>
        <v>-11.623872524711722</v>
      </c>
      <c r="AG382" s="592">
        <f t="shared" si="186"/>
        <v>-2.3356053562858188</v>
      </c>
      <c r="AH382" s="593">
        <f t="shared" si="187"/>
        <v>-76.594544040334654</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5">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1.0235255465481912</v>
      </c>
      <c r="N383" s="585">
        <f t="shared" si="174"/>
        <v>-0.21481810997362927</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-1.20138184624961</v>
      </c>
      <c r="X383" s="590">
        <f t="shared" si="180"/>
        <v>-134.12399177482592</v>
      </c>
      <c r="Y383" s="593">
        <f t="shared" si="181"/>
        <v>45.876008225174076</v>
      </c>
      <c r="AA383" s="150">
        <f t="shared" si="182"/>
        <v>32736</v>
      </c>
      <c r="AB383" s="150">
        <f t="shared" si="183"/>
        <v>1071645696</v>
      </c>
      <c r="AD383" s="592">
        <f t="shared" si="184"/>
        <v>27.495320192122392</v>
      </c>
      <c r="AE383" s="593">
        <f t="shared" si="185"/>
        <v>-11.663321088062919</v>
      </c>
      <c r="AG383" s="592">
        <f t="shared" si="186"/>
        <v>-2.3783776260854537</v>
      </c>
      <c r="AH383" s="593">
        <f t="shared" si="187"/>
        <v>-76.542162235069867</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5">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1.0237940977349229</v>
      </c>
      <c r="N384" s="585">
        <f t="shared" si="174"/>
        <v>-0.21601705354931716</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-1.2553930635393034</v>
      </c>
      <c r="X384" s="590">
        <f t="shared" si="180"/>
        <v>-134.36225141639912</v>
      </c>
      <c r="Y384" s="593">
        <f t="shared" si="181"/>
        <v>45.637748583600882</v>
      </c>
      <c r="AA384" s="150">
        <f t="shared" si="182"/>
        <v>32924.5</v>
      </c>
      <c r="AB384" s="150">
        <f t="shared" si="183"/>
        <v>1084022700.25</v>
      </c>
      <c r="AD384" s="592">
        <f t="shared" si="184"/>
        <v>27.493916812102409</v>
      </c>
      <c r="AE384" s="593">
        <f t="shared" si="185"/>
        <v>-11.702906975829498</v>
      </c>
      <c r="AG384" s="592">
        <f t="shared" si="186"/>
        <v>-2.4208269509853215</v>
      </c>
      <c r="AH384" s="593">
        <f t="shared" si="187"/>
        <v>-76.489730442816239</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5">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1.0240641198174554</v>
      </c>
      <c r="N385" s="585">
        <f t="shared" si="174"/>
        <v>-0.21721536657926302</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-1.3091379519806148</v>
      </c>
      <c r="X385" s="590">
        <f t="shared" si="180"/>
        <v>-134.60038783216444</v>
      </c>
      <c r="Y385" s="593">
        <f t="shared" si="181"/>
        <v>45.399612167835556</v>
      </c>
      <c r="AA385" s="150">
        <f t="shared" si="182"/>
        <v>33113</v>
      </c>
      <c r="AB385" s="150">
        <f t="shared" si="183"/>
        <v>1096470769</v>
      </c>
      <c r="AD385" s="592">
        <f t="shared" si="184"/>
        <v>27.49250762909076</v>
      </c>
      <c r="AE385" s="593">
        <f t="shared" si="185"/>
        <v>-11.742627491809641</v>
      </c>
      <c r="AG385" s="592">
        <f t="shared" si="186"/>
        <v>-2.4629567002562629</v>
      </c>
      <c r="AH385" s="593">
        <f t="shared" si="187"/>
        <v>-76.437250875212285</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5">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1.0243417497339145</v>
      </c>
      <c r="N386" s="585">
        <f t="shared" si="174"/>
        <v>-0.21844004218170757</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-1.3638225007627045</v>
      </c>
      <c r="X386" s="590">
        <f t="shared" si="180"/>
        <v>-134.84376471935377</v>
      </c>
      <c r="Y386" s="593">
        <f t="shared" si="181"/>
        <v>45.156235280646229</v>
      </c>
      <c r="AA386" s="150">
        <f t="shared" si="182"/>
        <v>33305.75</v>
      </c>
      <c r="AB386" s="150">
        <f t="shared" si="183"/>
        <v>1109272983.0625</v>
      </c>
      <c r="AD386" s="592">
        <f t="shared" si="184"/>
        <v>27.491060647860508</v>
      </c>
      <c r="AE386" s="593">
        <f t="shared" si="185"/>
        <v>-11.78338003166755</v>
      </c>
      <c r="AG386" s="592">
        <f t="shared" si="186"/>
        <v>-2.5057093121250333</v>
      </c>
      <c r="AH386" s="593">
        <f t="shared" si="187"/>
        <v>-76.383540931310719</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5">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1.024620915155287</v>
      </c>
      <c r="N387" s="585">
        <f t="shared" si="174"/>
        <v>-0.21966405227557587</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-1.4182352338044091</v>
      </c>
      <c r="X387" s="590">
        <f t="shared" si="180"/>
        <v>-135.08701028830194</v>
      </c>
      <c r="Y387" s="593">
        <f t="shared" si="181"/>
        <v>44.91298971169806</v>
      </c>
      <c r="AA387" s="150">
        <f t="shared" si="182"/>
        <v>33498.5</v>
      </c>
      <c r="AB387" s="150">
        <f t="shared" si="183"/>
        <v>1122149502.25</v>
      </c>
      <c r="AD387" s="592">
        <f t="shared" si="184"/>
        <v>27.489607548293655</v>
      </c>
      <c r="AE387" s="593">
        <f t="shared" si="185"/>
        <v>-11.8242678246339</v>
      </c>
      <c r="AG387" s="592">
        <f t="shared" si="186"/>
        <v>-2.5481347252214381</v>
      </c>
      <c r="AH387" s="593">
        <f t="shared" si="187"/>
        <v>-76.329785556441806</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5">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1.0249016148268382</v>
      </c>
      <c r="N388" s="585">
        <f t="shared" si="174"/>
        <v>-0.22088739373856583</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-1.4723794288948187</v>
      </c>
      <c r="X388" s="590">
        <f t="shared" si="180"/>
        <v>-135.33012331594335</v>
      </c>
      <c r="Y388" s="593">
        <f t="shared" si="181"/>
        <v>44.669876684056646</v>
      </c>
      <c r="AA388" s="150">
        <f t="shared" si="182"/>
        <v>33691.25</v>
      </c>
      <c r="AB388" s="150">
        <f t="shared" si="183"/>
        <v>1135100326.5625</v>
      </c>
      <c r="AD388" s="592">
        <f t="shared" si="184"/>
        <v>27.488148306184709</v>
      </c>
      <c r="AE388" s="593">
        <f t="shared" si="185"/>
        <v>-11.865288174546645</v>
      </c>
      <c r="AG388" s="592">
        <f t="shared" si="186"/>
        <v>-2.5902363668012853</v>
      </c>
      <c r="AH388" s="593">
        <f t="shared" si="187"/>
        <v>-76.275986961779054</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5">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1.0251838474883157</v>
      </c>
      <c r="N389" s="585">
        <f t="shared" si="174"/>
        <v>-0.2221100634597909</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-1.5262583062278297</v>
      </c>
      <c r="X389" s="590">
        <f t="shared" si="180"/>
        <v>-135.57310259706745</v>
      </c>
      <c r="Y389" s="593">
        <f t="shared" si="181"/>
        <v>44.426897402932553</v>
      </c>
      <c r="AA389" s="150">
        <f t="shared" si="182"/>
        <v>33884</v>
      </c>
      <c r="AB389" s="150">
        <f t="shared" si="183"/>
        <v>1148125456</v>
      </c>
      <c r="AD389" s="592">
        <f t="shared" si="184"/>
        <v>27.486682898253076</v>
      </c>
      <c r="AE389" s="593">
        <f t="shared" si="185"/>
        <v>-11.906438444619454</v>
      </c>
      <c r="AG389" s="592">
        <f t="shared" si="186"/>
        <v>-2.6320176077547854</v>
      </c>
      <c r="AH389" s="593">
        <f t="shared" si="187"/>
        <v>-76.222147309499277</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5">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1.0254746240983064</v>
      </c>
      <c r="N390" s="585">
        <f t="shared" si="174"/>
        <v>-0.22336216380471161</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-1.5811930406379051</v>
      </c>
      <c r="X390" s="590">
        <f t="shared" si="180"/>
        <v>-135.82192972138893</v>
      </c>
      <c r="Y390" s="593">
        <f t="shared" si="181"/>
        <v>44.178070278611074</v>
      </c>
      <c r="AA390" s="150">
        <f t="shared" si="182"/>
        <v>34081.5</v>
      </c>
      <c r="AB390" s="150">
        <f t="shared" si="183"/>
        <v>1161548642.25</v>
      </c>
      <c r="AD390" s="592">
        <f t="shared" si="184"/>
        <v>27.485174958784601</v>
      </c>
      <c r="AE390" s="593">
        <f t="shared" si="185"/>
        <v>-11.948734859277163</v>
      </c>
      <c r="AG390" s="592">
        <f t="shared" si="186"/>
        <v>-2.674499602973603</v>
      </c>
      <c r="AH390" s="593">
        <f t="shared" si="187"/>
        <v>-76.166940492641416</v>
      </c>
      <c r="AJ390" s="150">
        <f t="shared" si="188"/>
        <v>0</v>
      </c>
      <c r="AK390" s="150">
        <f t="shared" si="200"/>
        <v>0</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5">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1.0257670074886041</v>
      </c>
      <c r="N391" s="585">
        <f t="shared" si="174"/>
        <v>-0.22461355231623018</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-1.6358558848175455</v>
      </c>
      <c r="X391" s="590">
        <f t="shared" si="180"/>
        <v>-136.07061392006395</v>
      </c>
      <c r="Y391" s="593">
        <f t="shared" si="181"/>
        <v>43.929386079936052</v>
      </c>
      <c r="AA391" s="150">
        <f t="shared" si="182"/>
        <v>34279</v>
      </c>
      <c r="AB391" s="150">
        <f t="shared" si="183"/>
        <v>1175049841</v>
      </c>
      <c r="AD391" s="592">
        <f t="shared" si="184"/>
        <v>27.483660499217667</v>
      </c>
      <c r="AE391" s="593">
        <f t="shared" si="185"/>
        <v>-11.991162255388414</v>
      </c>
      <c r="AG391" s="592">
        <f t="shared" si="186"/>
        <v>-2.7166522009121468</v>
      </c>
      <c r="AH391" s="593">
        <f t="shared" si="187"/>
        <v>-76.111695013545486</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5">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1.0260609962856182</v>
      </c>
      <c r="N392" s="585">
        <f t="shared" si="174"/>
        <v>-0.22586422568527278</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-1.6902501232747902</v>
      </c>
      <c r="X392" s="590">
        <f t="shared" si="180"/>
        <v>-136.31915395249945</v>
      </c>
      <c r="Y392" s="593">
        <f t="shared" si="181"/>
        <v>43.680846047500552</v>
      </c>
      <c r="AA392" s="150">
        <f t="shared" si="182"/>
        <v>34476.5</v>
      </c>
      <c r="AB392" s="150">
        <f t="shared" si="183"/>
        <v>1188629052.25</v>
      </c>
      <c r="AD392" s="592">
        <f t="shared" si="184"/>
        <v>27.482139497335375</v>
      </c>
      <c r="AE392" s="593">
        <f t="shared" si="185"/>
        <v>-12.033717979606976</v>
      </c>
      <c r="AG392" s="592">
        <f t="shared" si="186"/>
        <v>-2.7584788519582966</v>
      </c>
      <c r="AH392" s="593">
        <f t="shared" si="187"/>
        <v>-76.05641304651887</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5">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1.0263565891097943</v>
      </c>
      <c r="N393" s="585">
        <f t="shared" si="174"/>
        <v>-0.22711418061549551</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-1.7443789826423348</v>
      </c>
      <c r="X393" s="590">
        <f t="shared" si="180"/>
        <v>-136.56754859620489</v>
      </c>
      <c r="Y393" s="593">
        <f t="shared" si="181"/>
        <v>43.432451403795113</v>
      </c>
      <c r="AA393" s="150">
        <f t="shared" si="182"/>
        <v>34674</v>
      </c>
      <c r="AB393" s="150">
        <f t="shared" si="183"/>
        <v>1202286276</v>
      </c>
      <c r="AD393" s="592">
        <f t="shared" si="184"/>
        <v>27.480611931813272</v>
      </c>
      <c r="AE393" s="593">
        <f t="shared" si="185"/>
        <v>-12.076399436960759</v>
      </c>
      <c r="AG393" s="592">
        <f t="shared" si="186"/>
        <v>-2.7999829498147011</v>
      </c>
      <c r="AH393" s="593">
        <f t="shared" si="187"/>
        <v>-76.001096717373215</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5">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1.0266601975254959</v>
      </c>
      <c r="N394" s="585">
        <f t="shared" si="174"/>
        <v>-0.2283902881001888</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-1.7994019299868313</v>
      </c>
      <c r="X394" s="590">
        <f t="shared" si="180"/>
        <v>-136.82113707303762</v>
      </c>
      <c r="Y394" s="593">
        <f t="shared" si="181"/>
        <v>43.178862926962381</v>
      </c>
      <c r="AA394" s="150">
        <f t="shared" si="182"/>
        <v>34875.75</v>
      </c>
      <c r="AB394" s="150">
        <f t="shared" si="183"/>
        <v>1216317938.0625</v>
      </c>
      <c r="AD394" s="592">
        <f t="shared" si="184"/>
        <v>27.479044696331094</v>
      </c>
      <c r="AE394" s="593">
        <f t="shared" si="185"/>
        <v>-12.120126537529956</v>
      </c>
      <c r="AG394" s="592">
        <f t="shared" si="186"/>
        <v>-2.8420506056762047</v>
      </c>
      <c r="AH394" s="593">
        <f t="shared" si="187"/>
        <v>-75.944556718915479</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5">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1.0269654768162009</v>
      </c>
      <c r="N395" s="585">
        <f t="shared" si="174"/>
        <v>-0.22966563898049913</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-1.8541545813738838</v>
      </c>
      <c r="X395" s="590">
        <f t="shared" si="180"/>
        <v>-137.07457131398832</v>
      </c>
      <c r="Y395" s="593">
        <f t="shared" si="181"/>
        <v>42.925428686011685</v>
      </c>
      <c r="AA395" s="150">
        <f t="shared" si="182"/>
        <v>35077.5</v>
      </c>
      <c r="AB395" s="150">
        <f t="shared" si="183"/>
        <v>1230431006.25</v>
      </c>
      <c r="AD395" s="592">
        <f t="shared" si="184"/>
        <v>27.47747056942513</v>
      </c>
      <c r="AE395" s="593">
        <f t="shared" si="185"/>
        <v>-12.16397954605509</v>
      </c>
      <c r="AG395" s="592">
        <f t="shared" si="186"/>
        <v>-2.8837886604067444</v>
      </c>
      <c r="AH395" s="593">
        <f t="shared" si="187"/>
        <v>-75.887985198559818</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5">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1.027272425492284</v>
      </c>
      <c r="N396" s="585">
        <f t="shared" si="174"/>
        <v>-0.23094022978404699</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-1.9086401976340526</v>
      </c>
      <c r="X396" s="590">
        <f t="shared" si="180"/>
        <v>-137.32785007210683</v>
      </c>
      <c r="Y396" s="593">
        <f t="shared" si="181"/>
        <v>42.672149927893173</v>
      </c>
      <c r="AA396" s="150">
        <f t="shared" si="182"/>
        <v>35279.25</v>
      </c>
      <c r="AB396" s="150">
        <f t="shared" si="183"/>
        <v>1244625480.5625</v>
      </c>
      <c r="AD396" s="592">
        <f t="shared" si="184"/>
        <v>27.4758895310644</v>
      </c>
      <c r="AE396" s="593">
        <f t="shared" si="185"/>
        <v>-12.207955874625336</v>
      </c>
      <c r="AG396" s="592">
        <f t="shared" si="186"/>
        <v>-2.9252005565255743</v>
      </c>
      <c r="AH396" s="593">
        <f t="shared" si="187"/>
        <v>-75.831384273736532</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5">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1.0275810420577598</v>
      </c>
      <c r="N397" s="585">
        <f t="shared" ref="N397:N460" si="206">-ATAN(G397/z_RHP)</f>
        <v>-0.23221405705246889</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-1.9628619821476188</v>
      </c>
      <c r="X397" s="590">
        <f t="shared" ref="X397:X460" si="212">((L397+R397+N397+V397)-(J397+P397+T397))*radconv</f>
        <v>-137.58097211861767</v>
      </c>
      <c r="Y397" s="593">
        <f t="shared" ref="Y397:Y460" si="213">IF(X397&gt;0,X397,X397+180)</f>
        <v>42.419027881382334</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-2.9662896802351124</v>
      </c>
      <c r="AH397" s="593">
        <f t="shared" ref="AH397:AH460" si="219">(L397+N397-(J397+V397))*radconv</f>
        <v>-75.774756014424327</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5">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1.0278990359464748</v>
      </c>
      <c r="N398" s="585">
        <f t="shared" si="206"/>
        <v>-0.23351865801326993</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-2.0181571243211964</v>
      </c>
      <c r="X398" s="590">
        <f t="shared" si="212"/>
        <v>-137.84020347407517</v>
      </c>
      <c r="Y398" s="593">
        <f t="shared" si="213"/>
        <v>42.159796525924833</v>
      </c>
      <c r="AA398" s="150">
        <f t="shared" si="214"/>
        <v>35687.75</v>
      </c>
      <c r="AB398" s="150">
        <f t="shared" si="215"/>
        <v>1273615500.0625</v>
      </c>
      <c r="AD398" s="592">
        <f t="shared" si="216"/>
        <v>27.47266702860021</v>
      </c>
      <c r="AE398" s="593">
        <f t="shared" si="217"/>
        <v>-12.297365701216096</v>
      </c>
      <c r="AG398" s="592">
        <f t="shared" si="218"/>
        <v>-3.0080657354634708</v>
      </c>
      <c r="AH398" s="593">
        <f t="shared" si="219"/>
        <v>-75.716698086251895</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5">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1.0282187782187195</v>
      </c>
      <c r="N399" s="585">
        <f t="shared" si="206"/>
        <v>-0.23482244981584757</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-2.0731818277847105</v>
      </c>
      <c r="X399" s="590">
        <f t="shared" si="212"/>
        <v>-138.09926769819813</v>
      </c>
      <c r="Y399" s="593">
        <f t="shared" si="213"/>
        <v>41.900732301801867</v>
      </c>
      <c r="AA399" s="150">
        <f t="shared" si="214"/>
        <v>35894.5</v>
      </c>
      <c r="AB399" s="150">
        <f t="shared" si="215"/>
        <v>1288415130.25</v>
      </c>
      <c r="AD399" s="592">
        <f t="shared" si="216"/>
        <v>27.471025178553212</v>
      </c>
      <c r="AE399" s="593">
        <f t="shared" si="217"/>
        <v>-12.342800053891933</v>
      </c>
      <c r="AG399" s="592">
        <f t="shared" si="218"/>
        <v>-3.0495098458844434</v>
      </c>
      <c r="AH399" s="593">
        <f t="shared" si="219"/>
        <v>-75.658615706030673</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5">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1.0285402672439348</v>
      </c>
      <c r="N400" s="585">
        <f t="shared" si="206"/>
        <v>-0.23612542878434462</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-2.1279393607384582</v>
      </c>
      <c r="X400" s="590">
        <f t="shared" si="212"/>
        <v>-138.3581635256659</v>
      </c>
      <c r="Y400" s="593">
        <f t="shared" si="213"/>
        <v>41.641836474334099</v>
      </c>
      <c r="AA400" s="150">
        <f t="shared" si="214"/>
        <v>36101.25</v>
      </c>
      <c r="AB400" s="150">
        <f t="shared" si="215"/>
        <v>1303300251.5625</v>
      </c>
      <c r="AD400" s="592">
        <f t="shared" si="216"/>
        <v>27.469375993891457</v>
      </c>
      <c r="AE400" s="593">
        <f t="shared" si="217"/>
        <v>-12.388353500991462</v>
      </c>
      <c r="AG400" s="592">
        <f t="shared" si="218"/>
        <v>-3.0906254799112753</v>
      </c>
      <c r="AH400" s="593">
        <f t="shared" si="219"/>
        <v>-75.600510954405735</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5">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1.0288635013846961</v>
      </c>
      <c r="N401" s="585">
        <f t="shared" si="206"/>
        <v>-0.23742759125852572</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-2.1824329336235015</v>
      </c>
      <c r="X401" s="590">
        <f t="shared" si="212"/>
        <v>-138.61688970968262</v>
      </c>
      <c r="Y401" s="593">
        <f t="shared" si="213"/>
        <v>41.383110290317376</v>
      </c>
      <c r="AA401" s="150">
        <f t="shared" si="214"/>
        <v>36308</v>
      </c>
      <c r="AB401" s="150">
        <f t="shared" si="215"/>
        <v>1318270864</v>
      </c>
      <c r="AD401" s="592">
        <f t="shared" si="216"/>
        <v>27.467719457401031</v>
      </c>
      <c r="AE401" s="593">
        <f t="shared" si="217"/>
        <v>-12.434023549230247</v>
      </c>
      <c r="AG401" s="592">
        <f t="shared" si="218"/>
        <v>-3.1314160492855092</v>
      </c>
      <c r="AH401" s="593">
        <f t="shared" si="219"/>
        <v>-75.542385864962256</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5">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1.0291959657045235</v>
      </c>
      <c r="N402" s="585">
        <f t="shared" si="206"/>
        <v>-0.23875882175614174</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-2.2379086368167038</v>
      </c>
      <c r="X402" s="590">
        <f t="shared" si="212"/>
        <v>-138.88138321072307</v>
      </c>
      <c r="Y402" s="593">
        <f t="shared" si="213"/>
        <v>41.118616789276928</v>
      </c>
      <c r="AA402" s="150">
        <f t="shared" si="214"/>
        <v>36519.5</v>
      </c>
      <c r="AB402" s="150">
        <f t="shared" si="215"/>
        <v>1333673880.25</v>
      </c>
      <c r="AD402" s="592">
        <f t="shared" si="216"/>
        <v>27.466017238395398</v>
      </c>
      <c r="AE402" s="593">
        <f t="shared" si="217"/>
        <v>-12.480860956307399</v>
      </c>
      <c r="AG402" s="592">
        <f t="shared" si="218"/>
        <v>-3.1728109123426318</v>
      </c>
      <c r="AH402" s="593">
        <f t="shared" si="219"/>
        <v>-75.482906402624053</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5">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1.029530252759467</v>
      </c>
      <c r="N403" s="585">
        <f t="shared" si="206"/>
        <v>-0.24008919011271251</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-2.2931147289297775</v>
      </c>
      <c r="X403" s="590">
        <f t="shared" si="212"/>
        <v>-139.14569660216588</v>
      </c>
      <c r="Y403" s="593">
        <f t="shared" si="213"/>
        <v>40.854303397834116</v>
      </c>
      <c r="AA403" s="150">
        <f t="shared" si="214"/>
        <v>36731</v>
      </c>
      <c r="AB403" s="150">
        <f t="shared" si="215"/>
        <v>1349166361</v>
      </c>
      <c r="AD403" s="592">
        <f t="shared" si="216"/>
        <v>27.46430729195076</v>
      </c>
      <c r="AE403" s="593">
        <f t="shared" si="217"/>
        <v>-12.52781527754704</v>
      </c>
      <c r="AG403" s="592">
        <f t="shared" si="218"/>
        <v>-3.2138726492492342</v>
      </c>
      <c r="AH403" s="593">
        <f t="shared" si="219"/>
        <v>-75.423409816770587</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5">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1.0298663607745868</v>
      </c>
      <c r="N404" s="585">
        <f t="shared" si="206"/>
        <v>-0.24141869246088909</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-2.3480544676593849</v>
      </c>
      <c r="X404" s="590">
        <f t="shared" si="212"/>
        <v>-139.40982860719942</v>
      </c>
      <c r="Y404" s="593">
        <f t="shared" si="213"/>
        <v>40.590171392800585</v>
      </c>
      <c r="AA404" s="150">
        <f t="shared" si="214"/>
        <v>36942.5</v>
      </c>
      <c r="AB404" s="150">
        <f t="shared" si="215"/>
        <v>1364748306.25</v>
      </c>
      <c r="AD404" s="592">
        <f t="shared" si="216"/>
        <v>27.462589602142216</v>
      </c>
      <c r="AE404" s="593">
        <f t="shared" si="217"/>
        <v>-12.574884014987243</v>
      </c>
      <c r="AG404" s="592">
        <f t="shared" si="218"/>
        <v>-3.2546047364857338</v>
      </c>
      <c r="AH404" s="593">
        <f t="shared" si="219"/>
        <v>-75.363898139378023</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5">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1.0302042879675981</v>
      </c>
      <c r="N405" s="585">
        <f t="shared" si="206"/>
        <v>-0.24274732495060183</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-2.402731053046641</v>
      </c>
      <c r="X405" s="590">
        <f t="shared" si="212"/>
        <v>-139.67377796780659</v>
      </c>
      <c r="Y405" s="593">
        <f t="shared" si="213"/>
        <v>40.326222032193414</v>
      </c>
      <c r="AA405" s="150">
        <f t="shared" si="214"/>
        <v>37154</v>
      </c>
      <c r="AB405" s="150">
        <f t="shared" si="215"/>
        <v>1380419716</v>
      </c>
      <c r="AD405" s="592">
        <f t="shared" si="216"/>
        <v>27.46086415383499</v>
      </c>
      <c r="AE405" s="593">
        <f t="shared" si="217"/>
        <v>-12.622064725153844</v>
      </c>
      <c r="AG405" s="592">
        <f t="shared" si="218"/>
        <v>-3.295010593906011</v>
      </c>
      <c r="AH405" s="593">
        <f t="shared" si="219"/>
        <v>-75.304373356046327</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5">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1.0305516835988322</v>
      </c>
      <c r="N406" s="585">
        <f t="shared" si="206"/>
        <v>-0.24410489333028906</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-2.4583667891777852</v>
      </c>
      <c r="X406" s="590">
        <f t="shared" si="212"/>
        <v>-139.94346513460366</v>
      </c>
      <c r="Y406" s="593">
        <f t="shared" si="213"/>
        <v>40.056534865396344</v>
      </c>
      <c r="AA406" s="150">
        <f t="shared" si="214"/>
        <v>37370.25</v>
      </c>
      <c r="AB406" s="150">
        <f t="shared" si="215"/>
        <v>1396535585.0625</v>
      </c>
      <c r="AD406" s="592">
        <f t="shared" si="216"/>
        <v>27.459091917536806</v>
      </c>
      <c r="AE406" s="593">
        <f t="shared" si="217"/>
        <v>-12.670418332623997</v>
      </c>
      <c r="AG406" s="592">
        <f t="shared" si="218"/>
        <v>-3.3359901138021906</v>
      </c>
      <c r="AH406" s="593">
        <f t="shared" si="219"/>
        <v>-75.243500197983209</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5">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1.0309009772463753</v>
      </c>
      <c r="N407" s="585">
        <f t="shared" si="206"/>
        <v>-0.24546154425627639</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-2.5137340061903632</v>
      </c>
      <c r="X407" s="590">
        <f t="shared" si="212"/>
        <v>-140.21295875975594</v>
      </c>
      <c r="Y407" s="593">
        <f t="shared" si="213"/>
        <v>39.787041240244065</v>
      </c>
      <c r="AA407" s="150">
        <f t="shared" si="214"/>
        <v>37586.5</v>
      </c>
      <c r="AB407" s="150">
        <f t="shared" si="215"/>
        <v>1412744982.25</v>
      </c>
      <c r="AD407" s="592">
        <f t="shared" si="216"/>
        <v>27.457311540756137</v>
      </c>
      <c r="AE407" s="593">
        <f t="shared" si="217"/>
        <v>-12.7188840003178</v>
      </c>
      <c r="AG407" s="592">
        <f t="shared" si="218"/>
        <v>-3.3766356409537051</v>
      </c>
      <c r="AH407" s="593">
        <f t="shared" si="219"/>
        <v>-75.182617393623801</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5">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1.0312521669816059</v>
      </c>
      <c r="N408" s="585">
        <f t="shared" si="206"/>
        <v>-0.24681727366952155</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-2.568835946104354</v>
      </c>
      <c r="X408" s="590">
        <f t="shared" si="212"/>
        <v>-140.48225755728717</v>
      </c>
      <c r="Y408" s="593">
        <f t="shared" si="213"/>
        <v>39.51774244271283</v>
      </c>
      <c r="AA408" s="150">
        <f t="shared" si="214"/>
        <v>37802.75</v>
      </c>
      <c r="AB408" s="150">
        <f t="shared" si="215"/>
        <v>1429047907.5625</v>
      </c>
      <c r="AD408" s="592">
        <f t="shared" si="216"/>
        <v>27.455523009715833</v>
      </c>
      <c r="AE408" s="593">
        <f t="shared" si="217"/>
        <v>-12.767459283308375</v>
      </c>
      <c r="AG408" s="592">
        <f t="shared" si="218"/>
        <v>-3.4169506554311142</v>
      </c>
      <c r="AH408" s="593">
        <f t="shared" si="219"/>
        <v>-75.121726922660571</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5">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1.0316052508680673</v>
      </c>
      <c r="N409" s="585">
        <f t="shared" si="206"/>
        <v>-0.24817207753004442</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-2.6236757935036654</v>
      </c>
      <c r="X409" s="590">
        <f t="shared" si="212"/>
        <v>-140.75136026029722</v>
      </c>
      <c r="Y409" s="593">
        <f t="shared" si="213"/>
        <v>39.248639739702782</v>
      </c>
      <c r="AA409" s="150">
        <f t="shared" si="214"/>
        <v>38019</v>
      </c>
      <c r="AB409" s="150">
        <f t="shared" si="215"/>
        <v>1445444361</v>
      </c>
      <c r="AD409" s="592">
        <f t="shared" si="216"/>
        <v>27.453726311396565</v>
      </c>
      <c r="AE409" s="593">
        <f t="shared" si="217"/>
        <v>-12.816141789795978</v>
      </c>
      <c r="AG409" s="592">
        <f t="shared" si="218"/>
        <v>-3.4569385808321722</v>
      </c>
      <c r="AH409" s="593">
        <f t="shared" si="219"/>
        <v>-75.06083071913767</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5">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1.0319688683884884</v>
      </c>
      <c r="N410" s="585">
        <f t="shared" si="206"/>
        <v>-0.24955880884988035</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-2.6795785679632984</v>
      </c>
      <c r="X410" s="590">
        <f t="shared" si="212"/>
        <v>-141.02679149484908</v>
      </c>
      <c r="Y410" s="593">
        <f t="shared" si="213"/>
        <v>38.973208505150922</v>
      </c>
      <c r="AA410" s="150">
        <f t="shared" si="214"/>
        <v>38240.5</v>
      </c>
      <c r="AB410" s="150">
        <f t="shared" si="215"/>
        <v>1462335840.25</v>
      </c>
      <c r="AD410" s="592">
        <f t="shared" si="216"/>
        <v>27.451877513869608</v>
      </c>
      <c r="AE410" s="593">
        <f t="shared" si="217"/>
        <v>-12.866114898106712</v>
      </c>
      <c r="AG410" s="592">
        <f t="shared" si="218"/>
        <v>-3.497561734524397</v>
      </c>
      <c r="AH410" s="593">
        <f t="shared" si="219"/>
        <v>-74.998452142174855</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5">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1.0323344690093361</v>
      </c>
      <c r="N411" s="585">
        <f t="shared" si="206"/>
        <v>-0.25094456061288334</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-2.7352129537694552</v>
      </c>
      <c r="X411" s="590">
        <f t="shared" si="212"/>
        <v>-141.30201436724238</v>
      </c>
      <c r="Y411" s="593">
        <f t="shared" si="213"/>
        <v>38.697985632757621</v>
      </c>
      <c r="AA411" s="150">
        <f t="shared" si="214"/>
        <v>38462</v>
      </c>
      <c r="AB411" s="150">
        <f t="shared" si="215"/>
        <v>1479325444</v>
      </c>
      <c r="AD411" s="592">
        <f t="shared" si="216"/>
        <v>27.450020122372241</v>
      </c>
      <c r="AE411" s="593">
        <f t="shared" si="217"/>
        <v>-12.916195584196206</v>
      </c>
      <c r="AG411" s="592">
        <f t="shared" si="218"/>
        <v>-3.5378488193324542</v>
      </c>
      <c r="AH411" s="593">
        <f t="shared" si="219"/>
        <v>-74.936071516589337</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5">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1.0327020506244187</v>
      </c>
      <c r="N412" s="585">
        <f t="shared" si="206"/>
        <v>-0.25232932854010809</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-2.7905821941911384</v>
      </c>
      <c r="X412" s="590">
        <f t="shared" si="212"/>
        <v>-141.5770275760934</v>
      </c>
      <c r="Y412" s="593">
        <f t="shared" si="213"/>
        <v>38.4229724239066</v>
      </c>
      <c r="AA412" s="150">
        <f t="shared" si="214"/>
        <v>38683.5</v>
      </c>
      <c r="AB412" s="150">
        <f t="shared" si="215"/>
        <v>1496413172.25</v>
      </c>
      <c r="AD412" s="592">
        <f t="shared" si="216"/>
        <v>27.44815412523149</v>
      </c>
      <c r="AE412" s="593">
        <f t="shared" si="217"/>
        <v>-12.966381441560925</v>
      </c>
      <c r="AG412" s="592">
        <f t="shared" si="218"/>
        <v>-3.577803338269792</v>
      </c>
      <c r="AH412" s="593">
        <f t="shared" si="219"/>
        <v>-74.873690779318281</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5">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1.0330716111191383</v>
      </c>
      <c r="N413" s="585">
        <f t="shared" si="206"/>
        <v>-0.25371310837377542</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-2.8456894748756678</v>
      </c>
      <c r="X413" s="590">
        <f t="shared" si="212"/>
        <v>-141.85182983956622</v>
      </c>
      <c r="Y413" s="593">
        <f t="shared" si="213"/>
        <v>38.148170160433779</v>
      </c>
      <c r="AA413" s="150">
        <f t="shared" si="214"/>
        <v>38905</v>
      </c>
      <c r="AB413" s="150">
        <f t="shared" si="215"/>
        <v>1513599025</v>
      </c>
      <c r="AD413" s="592">
        <f t="shared" si="216"/>
        <v>27.446279511507051</v>
      </c>
      <c r="AE413" s="593">
        <f t="shared" si="217"/>
        <v>-13.016670115871062</v>
      </c>
      <c r="AG413" s="592">
        <f t="shared" si="218"/>
        <v>-3.6174287376255441</v>
      </c>
      <c r="AH413" s="593">
        <f t="shared" si="219"/>
        <v>-74.811311822008989</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5">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1.0334515580140406</v>
      </c>
      <c r="N414" s="585">
        <f t="shared" si="206"/>
        <v>-0.25512709855640325</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-2.9017730759129505</v>
      </c>
      <c r="X414" s="590">
        <f t="shared" si="212"/>
        <v>-142.1326158572486</v>
      </c>
      <c r="Y414" s="593">
        <f t="shared" si="213"/>
        <v>37.867384142751405</v>
      </c>
      <c r="AA414" s="150">
        <f t="shared" si="214"/>
        <v>39131.5</v>
      </c>
      <c r="AB414" s="150">
        <f t="shared" si="215"/>
        <v>1531274292.25</v>
      </c>
      <c r="AD414" s="592">
        <f t="shared" si="216"/>
        <v>27.444353660253434</v>
      </c>
      <c r="AE414" s="593">
        <f t="shared" si="217"/>
        <v>-13.068197899390878</v>
      </c>
      <c r="AG414" s="592">
        <f t="shared" si="218"/>
        <v>-3.6576118006708018</v>
      </c>
      <c r="AH414" s="593">
        <f t="shared" si="219"/>
        <v>-74.747528527167532</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5">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1.0338335696380072</v>
      </c>
      <c r="N415" s="585">
        <f t="shared" si="206"/>
        <v>-0.25654004659587165</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-2.9575893157039297</v>
      </c>
      <c r="X415" s="590">
        <f t="shared" si="212"/>
        <v>-142.41317864871252</v>
      </c>
      <c r="Y415" s="593">
        <f t="shared" si="213"/>
        <v>37.586821351287483</v>
      </c>
      <c r="AA415" s="150">
        <f t="shared" si="214"/>
        <v>39358</v>
      </c>
      <c r="AB415" s="150">
        <f t="shared" si="215"/>
        <v>1549052164</v>
      </c>
      <c r="AD415" s="592">
        <f t="shared" si="216"/>
        <v>27.442418778123113</v>
      </c>
      <c r="AE415" s="593">
        <f t="shared" si="217"/>
        <v>-13.119828375621559</v>
      </c>
      <c r="AG415" s="592">
        <f t="shared" si="218"/>
        <v>-3.6974578302990824</v>
      </c>
      <c r="AH415" s="593">
        <f t="shared" si="219"/>
        <v>-74.683750954196981</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5">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1.0342176437030752</v>
      </c>
      <c r="N416" s="585">
        <f t="shared" si="206"/>
        <v>-0.257951948008454</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-3.0131414220775992</v>
      </c>
      <c r="X416" s="590">
        <f t="shared" si="212"/>
        <v>-142.69351690458771</v>
      </c>
      <c r="Y416" s="593">
        <f t="shared" si="213"/>
        <v>37.30648309541229</v>
      </c>
      <c r="AA416" s="150">
        <f t="shared" si="214"/>
        <v>39584.5</v>
      </c>
      <c r="AB416" s="150">
        <f t="shared" si="215"/>
        <v>1566932640.25</v>
      </c>
      <c r="AD416" s="592">
        <f t="shared" si="216"/>
        <v>27.440474855646734</v>
      </c>
      <c r="AE416" s="593">
        <f t="shared" si="217"/>
        <v>-13.171559187062083</v>
      </c>
      <c r="AG416" s="592">
        <f t="shared" si="218"/>
        <v>-3.7369703356961459</v>
      </c>
      <c r="AH416" s="593">
        <f t="shared" si="219"/>
        <v>-74.61998098621352</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5">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1.0346037779123358</v>
      </c>
      <c r="N417" s="585">
        <f t="shared" si="206"/>
        <v>-0.25936279833375497</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-3.0684325654436733</v>
      </c>
      <c r="X417" s="590">
        <f t="shared" si="212"/>
        <v>-142.97362933545025</v>
      </c>
      <c r="Y417" s="593">
        <f t="shared" si="213"/>
        <v>37.026370664549745</v>
      </c>
      <c r="AA417" s="150">
        <f t="shared" si="214"/>
        <v>39811</v>
      </c>
      <c r="AB417" s="150">
        <f t="shared" si="215"/>
        <v>1584915721</v>
      </c>
      <c r="AD417" s="592">
        <f t="shared" si="216"/>
        <v>27.438521884059238</v>
      </c>
      <c r="AE417" s="593">
        <f t="shared" si="217"/>
        <v>-13.223388027112907</v>
      </c>
      <c r="AG417" s="592">
        <f t="shared" si="218"/>
        <v>-3.7761527694456687</v>
      </c>
      <c r="AH417" s="593">
        <f t="shared" si="219"/>
        <v>-74.556220461658413</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5">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1.035000992172338</v>
      </c>
      <c r="N418" s="585">
        <f t="shared" si="206"/>
        <v>-0.26080525794590936</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-3.124738433267535</v>
      </c>
      <c r="X418" s="590">
        <f t="shared" si="212"/>
        <v>-143.25999937700536</v>
      </c>
      <c r="Y418" s="593">
        <f t="shared" si="213"/>
        <v>36.740000622994643</v>
      </c>
      <c r="AA418" s="150">
        <f t="shared" si="214"/>
        <v>40042.75</v>
      </c>
      <c r="AB418" s="150">
        <f t="shared" si="215"/>
        <v>1603421827.5625</v>
      </c>
      <c r="AD418" s="592">
        <f t="shared" si="216"/>
        <v>27.436514270328203</v>
      </c>
      <c r="AE418" s="593">
        <f t="shared" si="217"/>
        <v>-13.276517307153574</v>
      </c>
      <c r="AG418" s="592">
        <f t="shared" si="218"/>
        <v>-3.815905312111413</v>
      </c>
      <c r="AH418" s="593">
        <f t="shared" si="219"/>
        <v>-74.490993690321076</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5">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1.0354003582933438</v>
      </c>
      <c r="N419" s="585">
        <f t="shared" si="206"/>
        <v>-0.2622466078077974</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-3.180777636904724</v>
      </c>
      <c r="X419" s="590">
        <f t="shared" si="212"/>
        <v>-143.54613033496048</v>
      </c>
      <c r="Y419" s="593">
        <f t="shared" si="213"/>
        <v>36.45386966503952</v>
      </c>
      <c r="AA419" s="150">
        <f t="shared" si="214"/>
        <v>40274.5</v>
      </c>
      <c r="AB419" s="150">
        <f t="shared" si="215"/>
        <v>1622035350.25</v>
      </c>
      <c r="AD419" s="592">
        <f t="shared" si="216"/>
        <v>27.434497166727411</v>
      </c>
      <c r="AE419" s="593">
        <f t="shared" si="217"/>
        <v>-13.329744484432874</v>
      </c>
      <c r="AG419" s="592">
        <f t="shared" si="218"/>
        <v>-3.8553194412232878</v>
      </c>
      <c r="AH419" s="593">
        <f t="shared" si="219"/>
        <v>-74.425780560771429</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5">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1.0358018737863235</v>
      </c>
      <c r="N420" s="585">
        <f t="shared" si="206"/>
        <v>-0.26368684321775071</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-3.2365533941769375</v>
      </c>
      <c r="X420" s="590">
        <f t="shared" si="212"/>
        <v>-143.83202089083272</v>
      </c>
      <c r="Y420" s="593">
        <f t="shared" si="213"/>
        <v>36.167979109167277</v>
      </c>
      <c r="AA420" s="150">
        <f t="shared" si="214"/>
        <v>40506.25</v>
      </c>
      <c r="AB420" s="150">
        <f t="shared" si="215"/>
        <v>1640756289.0625</v>
      </c>
      <c r="AD420" s="592">
        <f t="shared" si="216"/>
        <v>27.432470566015738</v>
      </c>
      <c r="AE420" s="593">
        <f t="shared" si="217"/>
        <v>-13.383067244539523</v>
      </c>
      <c r="AG420" s="592">
        <f t="shared" si="218"/>
        <v>-3.8943986792624434</v>
      </c>
      <c r="AH420" s="593">
        <f t="shared" si="219"/>
        <v>-74.360582904276214</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5">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1.0362055361527207</v>
      </c>
      <c r="N421" s="585">
        <f t="shared" si="206"/>
        <v>-0.2651259594998624</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-3.2920688655551422</v>
      </c>
      <c r="X421" s="590">
        <f t="shared" si="212"/>
        <v>-144.11766974658894</v>
      </c>
      <c r="Y421" s="593">
        <f t="shared" si="213"/>
        <v>35.882330253411055</v>
      </c>
      <c r="AA421" s="150">
        <f t="shared" si="214"/>
        <v>40738</v>
      </c>
      <c r="AB421" s="150">
        <f t="shared" si="215"/>
        <v>1659584644</v>
      </c>
      <c r="AD421" s="592">
        <f t="shared" si="216"/>
        <v>27.430434461631258</v>
      </c>
      <c r="AE421" s="593">
        <f t="shared" si="217"/>
        <v>-13.436483322847845</v>
      </c>
      <c r="AG421" s="592">
        <f t="shared" si="218"/>
        <v>-3.9331464920892008</v>
      </c>
      <c r="AH421" s="593">
        <f t="shared" si="219"/>
        <v>-74.295402507888809</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5">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1.0366209997095641</v>
      </c>
      <c r="N422" s="585">
        <f t="shared" si="206"/>
        <v>-0.26659806542904541</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-3.3486354720959821</v>
      </c>
      <c r="X422" s="590">
        <f t="shared" si="212"/>
        <v>-144.40984604883158</v>
      </c>
      <c r="Y422" s="593">
        <f t="shared" si="213"/>
        <v>35.590153951168418</v>
      </c>
      <c r="AA422" s="150">
        <f t="shared" si="214"/>
        <v>40975.25</v>
      </c>
      <c r="AB422" s="150">
        <f t="shared" si="215"/>
        <v>1678971112.5625</v>
      </c>
      <c r="AD422" s="592">
        <f t="shared" si="216"/>
        <v>27.428340184632084</v>
      </c>
      <c r="AE422" s="593">
        <f t="shared" si="217"/>
        <v>-13.491261449519374</v>
      </c>
      <c r="AG422" s="592">
        <f t="shared" si="218"/>
        <v>-3.9724741298738304</v>
      </c>
      <c r="AH422" s="593">
        <f t="shared" si="219"/>
        <v>-74.228694919631437</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5">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1.0370387079206793</v>
      </c>
      <c r="N423" s="585">
        <f t="shared" si="206"/>
        <v>-0.26806898864636319</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-3.4049358163041332</v>
      </c>
      <c r="X423" s="590">
        <f t="shared" si="212"/>
        <v>-144.70176635375245</v>
      </c>
      <c r="Y423" s="593">
        <f t="shared" si="213"/>
        <v>35.298233646247553</v>
      </c>
      <c r="AA423" s="150">
        <f t="shared" si="214"/>
        <v>41212.5</v>
      </c>
      <c r="AB423" s="150">
        <f t="shared" si="215"/>
        <v>1698470156.25</v>
      </c>
      <c r="AD423" s="592">
        <f t="shared" si="216"/>
        <v>27.426235935688904</v>
      </c>
      <c r="AE423" s="593">
        <f t="shared" si="217"/>
        <v>-13.546132727083492</v>
      </c>
      <c r="AG423" s="592">
        <f t="shared" si="218"/>
        <v>-4.0114615991995901</v>
      </c>
      <c r="AH423" s="593">
        <f t="shared" si="219"/>
        <v>-74.162009073433154</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5">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1.0374586580747955</v>
      </c>
      <c r="N424" s="585">
        <f t="shared" si="206"/>
        <v>-0.26953872421922359</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-3.4609731107380144</v>
      </c>
      <c r="X424" s="590">
        <f t="shared" si="212"/>
        <v>-144.99342933316368</v>
      </c>
      <c r="Y424" s="593">
        <f t="shared" si="213"/>
        <v>35.006570666836325</v>
      </c>
      <c r="AA424" s="150">
        <f t="shared" si="214"/>
        <v>41449.75</v>
      </c>
      <c r="AB424" s="150">
        <f t="shared" si="215"/>
        <v>1718081775.0625</v>
      </c>
      <c r="AD424" s="592">
        <f t="shared" si="216"/>
        <v>27.424121709837614</v>
      </c>
      <c r="AE424" s="593">
        <f t="shared" si="217"/>
        <v>-13.60109487902081</v>
      </c>
      <c r="AG424" s="592">
        <f t="shared" si="218"/>
        <v>-4.0501124423995885</v>
      </c>
      <c r="AH424" s="593">
        <f t="shared" si="219"/>
        <v>-74.095346749733523</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5">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1.0378808474504897</v>
      </c>
      <c r="N425" s="585">
        <f t="shared" si="206"/>
        <v>-0.2710072672435197</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-3.5167505105561108</v>
      </c>
      <c r="X425" s="590">
        <f t="shared" si="212"/>
        <v>-145.28483367993536</v>
      </c>
      <c r="Y425" s="593">
        <f t="shared" si="213"/>
        <v>34.71516632006464</v>
      </c>
      <c r="AA425" s="150">
        <f t="shared" si="214"/>
        <v>41687</v>
      </c>
      <c r="AB425" s="150">
        <f t="shared" si="215"/>
        <v>1737805969</v>
      </c>
      <c r="AD425" s="592">
        <f t="shared" si="216"/>
        <v>27.421997502771212</v>
      </c>
      <c r="AE425" s="593">
        <f t="shared" si="217"/>
        <v>-13.656145677616612</v>
      </c>
      <c r="AG425" s="592">
        <f t="shared" si="218"/>
        <v>-4.0884301450398102</v>
      </c>
      <c r="AH425" s="593">
        <f t="shared" si="219"/>
        <v>-74.028709685083072</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5">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1.0383151389853533</v>
      </c>
      <c r="N426" s="585">
        <f t="shared" si="206"/>
        <v>-0.27250861504530322</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-3.5735551888751136</v>
      </c>
      <c r="X426" s="590">
        <f t="shared" si="212"/>
        <v>-145.58272441153673</v>
      </c>
      <c r="Y426" s="593">
        <f t="shared" si="213"/>
        <v>34.417275588463269</v>
      </c>
      <c r="AA426" s="150">
        <f t="shared" si="214"/>
        <v>41929.75</v>
      </c>
      <c r="AB426" s="150">
        <f t="shared" si="215"/>
        <v>1758103935.0625</v>
      </c>
      <c r="AD426" s="592">
        <f t="shared" si="216"/>
        <v>27.419813716902496</v>
      </c>
      <c r="AE426" s="593">
        <f t="shared" si="217"/>
        <v>-13.712562159379745</v>
      </c>
      <c r="AG426" s="592">
        <f t="shared" si="218"/>
        <v>-4.1272949029032659</v>
      </c>
      <c r="AH426" s="593">
        <f t="shared" si="219"/>
        <v>-73.960555730773905</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5">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1.0387517689694166</v>
      </c>
      <c r="N427" s="585">
        <f t="shared" si="206"/>
        <v>-0.27400870406984251</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-3.6300942874710933</v>
      </c>
      <c r="X427" s="590">
        <f t="shared" si="212"/>
        <v>-145.88034167760955</v>
      </c>
      <c r="Y427" s="593">
        <f t="shared" si="213"/>
        <v>34.11965832239045</v>
      </c>
      <c r="AA427" s="150">
        <f t="shared" si="214"/>
        <v>42172.5</v>
      </c>
      <c r="AB427" s="150">
        <f t="shared" si="215"/>
        <v>1778519756.25</v>
      </c>
      <c r="AD427" s="592">
        <f t="shared" si="216"/>
        <v>27.417619474576711</v>
      </c>
      <c r="AE427" s="593">
        <f t="shared" si="217"/>
        <v>-13.769066877680544</v>
      </c>
      <c r="AG427" s="592">
        <f t="shared" si="218"/>
        <v>-4.1658181014025066</v>
      </c>
      <c r="AH427" s="593">
        <f t="shared" si="219"/>
        <v>-73.892431762301371</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5">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1.0391907344550866</v>
      </c>
      <c r="N428" s="585">
        <f t="shared" si="206"/>
        <v>-0.2755075291568827</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-3.6863710079414953</v>
      </c>
      <c r="X428" s="590">
        <f t="shared" si="212"/>
        <v>-146.17768414433007</v>
      </c>
      <c r="Y428" s="593">
        <f t="shared" si="213"/>
        <v>33.822315855669927</v>
      </c>
      <c r="AA428" s="150">
        <f t="shared" si="214"/>
        <v>42415.25</v>
      </c>
      <c r="AB428" s="150">
        <f t="shared" si="215"/>
        <v>1799053432.5625</v>
      </c>
      <c r="AD428" s="592">
        <f t="shared" si="216"/>
        <v>27.415414773186143</v>
      </c>
      <c r="AE428" s="593">
        <f t="shared" si="217"/>
        <v>-13.825657596160246</v>
      </c>
      <c r="AG428" s="592">
        <f t="shared" si="218"/>
        <v>-4.2040032978564028</v>
      </c>
      <c r="AH428" s="593">
        <f t="shared" si="219"/>
        <v>-73.824339504118271</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5">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1.0396320324839956</v>
      </c>
      <c r="N429" s="585">
        <f t="shared" si="206"/>
        <v>-0.27700508517757599</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-3.7423884945646746</v>
      </c>
      <c r="X429" s="590">
        <f t="shared" si="212"/>
        <v>-146.4747504995587</v>
      </c>
      <c r="Y429" s="593">
        <f t="shared" si="213"/>
        <v>33.525249500441305</v>
      </c>
      <c r="AA429" s="150">
        <f t="shared" si="214"/>
        <v>42658</v>
      </c>
      <c r="AB429" s="150">
        <f t="shared" si="215"/>
        <v>1819704964</v>
      </c>
      <c r="AD429" s="592">
        <f t="shared" si="216"/>
        <v>27.413199610758102</v>
      </c>
      <c r="AE429" s="593">
        <f t="shared" si="217"/>
        <v>-13.882332126206341</v>
      </c>
      <c r="AG429" s="592">
        <f t="shared" si="218"/>
        <v>-4.2418539927869432</v>
      </c>
      <c r="AH429" s="593">
        <f t="shared" si="219"/>
        <v>-73.756280637164949</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5">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1.0400861964783443</v>
      </c>
      <c r="N430" s="585">
        <f t="shared" si="206"/>
        <v>-0.27853679385476637</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-3.7994675694888995</v>
      </c>
      <c r="X430" s="590">
        <f t="shared" si="212"/>
        <v>-146.77856609525503</v>
      </c>
      <c r="Y430" s="593">
        <f t="shared" si="213"/>
        <v>33.22143390474497</v>
      </c>
      <c r="AA430" s="150">
        <f t="shared" si="214"/>
        <v>42906.5</v>
      </c>
      <c r="AB430" s="150">
        <f t="shared" si="215"/>
        <v>1840967742.25</v>
      </c>
      <c r="AD430" s="592">
        <f t="shared" si="216"/>
        <v>27.410921140883278</v>
      </c>
      <c r="AE430" s="593">
        <f t="shared" si="217"/>
        <v>-13.940433678135387</v>
      </c>
      <c r="AG430" s="592">
        <f t="shared" si="218"/>
        <v>-4.2802583700031143</v>
      </c>
      <c r="AH430" s="593">
        <f t="shared" si="219"/>
        <v>-73.686645962543423</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5">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1.0405427985181923</v>
      </c>
      <c r="N431" s="585">
        <f t="shared" si="206"/>
        <v>-0.28006716185733105</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-3.8562814738805562</v>
      </c>
      <c r="X431" s="590">
        <f t="shared" si="212"/>
        <v>-147.0820896296454</v>
      </c>
      <c r="Y431" s="593">
        <f t="shared" si="213"/>
        <v>32.917910370354605</v>
      </c>
      <c r="AA431" s="150">
        <f t="shared" si="214"/>
        <v>43155</v>
      </c>
      <c r="AB431" s="150">
        <f t="shared" si="215"/>
        <v>1862354025</v>
      </c>
      <c r="AD431" s="592">
        <f t="shared" si="216"/>
        <v>27.408631706293825</v>
      </c>
      <c r="AE431" s="593">
        <f t="shared" si="217"/>
        <v>-13.998618565344948</v>
      </c>
      <c r="AG431" s="592">
        <f t="shared" si="218"/>
        <v>-4.3183194580443383</v>
      </c>
      <c r="AH431" s="593">
        <f t="shared" si="219"/>
        <v>-73.617049709395289</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5">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1.0410018353954282</v>
      </c>
      <c r="N432" s="585">
        <f t="shared" si="206"/>
        <v>-0.28159618378581064</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-3.9128334026232459</v>
      </c>
      <c r="X432" s="590">
        <f t="shared" si="212"/>
        <v>-147.38531976361989</v>
      </c>
      <c r="Y432" s="593">
        <f t="shared" si="213"/>
        <v>32.61468023638011</v>
      </c>
      <c r="AA432" s="150">
        <f t="shared" si="214"/>
        <v>43403.5</v>
      </c>
      <c r="AB432" s="150">
        <f t="shared" si="215"/>
        <v>1883863812.25</v>
      </c>
      <c r="AD432" s="592">
        <f t="shared" si="216"/>
        <v>27.406331306816305</v>
      </c>
      <c r="AE432" s="593">
        <f t="shared" si="217"/>
        <v>-14.056884586904276</v>
      </c>
      <c r="AG432" s="592">
        <f t="shared" si="218"/>
        <v>-4.3560408353917799</v>
      </c>
      <c r="AH432" s="593">
        <f t="shared" si="219"/>
        <v>-73.547493546144139</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5">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1.041463303890505</v>
      </c>
      <c r="N433" s="585">
        <f t="shared" si="206"/>
        <v>-0.28312385427541609</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-3.9691264932570132</v>
      </c>
      <c r="X433" s="590">
        <f t="shared" si="212"/>
        <v>-147.68825518048723</v>
      </c>
      <c r="Y433" s="593">
        <f t="shared" si="213"/>
        <v>32.311744819512768</v>
      </c>
      <c r="AA433" s="150">
        <f t="shared" si="214"/>
        <v>43652</v>
      </c>
      <c r="AB433" s="150">
        <f t="shared" si="215"/>
        <v>1905497104</v>
      </c>
      <c r="AD433" s="592">
        <f t="shared" si="216"/>
        <v>27.404019942892816</v>
      </c>
      <c r="AE433" s="593">
        <f t="shared" si="217"/>
        <v>-14.115229588692419</v>
      </c>
      <c r="AG433" s="592">
        <f t="shared" si="218"/>
        <v>-4.3934260235807319</v>
      </c>
      <c r="AH433" s="593">
        <f t="shared" si="219"/>
        <v>-73.477979097951589</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5">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1.0419374955515417</v>
      </c>
      <c r="N434" s="585">
        <f t="shared" si="206"/>
        <v>-0.28468393420017368</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-4.0264012204542112</v>
      </c>
      <c r="X434" s="590">
        <f t="shared" si="212"/>
        <v>-147.99758948406804</v>
      </c>
      <c r="Y434" s="593">
        <f t="shared" si="213"/>
        <v>32.002410515931956</v>
      </c>
      <c r="AA434" s="150">
        <f t="shared" si="214"/>
        <v>43906</v>
      </c>
      <c r="AB434" s="150">
        <f t="shared" si="215"/>
        <v>1927736836</v>
      </c>
      <c r="AD434" s="592">
        <f t="shared" si="216"/>
        <v>27.401646091963926</v>
      </c>
      <c r="AE434" s="593">
        <f t="shared" si="217"/>
        <v>-14.174945355245034</v>
      </c>
      <c r="AG434" s="592">
        <f t="shared" si="218"/>
        <v>-4.431294825720447</v>
      </c>
      <c r="AH434" s="593">
        <f t="shared" si="219"/>
        <v>-73.406970858510647</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5">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1.0424142208207321</v>
      </c>
      <c r="N435" s="585">
        <f t="shared" si="206"/>
        <v>-0.28624259097894467</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-4.0834119759350154</v>
      </c>
      <c r="X435" s="590">
        <f t="shared" si="212"/>
        <v>-148.30661316891164</v>
      </c>
      <c r="Y435" s="593">
        <f t="shared" si="213"/>
        <v>31.693386831088361</v>
      </c>
      <c r="AA435" s="150">
        <f t="shared" si="214"/>
        <v>44160</v>
      </c>
      <c r="AB435" s="150">
        <f t="shared" si="215"/>
        <v>1950105600</v>
      </c>
      <c r="AD435" s="592">
        <f t="shared" si="216"/>
        <v>27.39926078869199</v>
      </c>
      <c r="AE435" s="593">
        <f t="shared" si="217"/>
        <v>-14.234739230018164</v>
      </c>
      <c r="AG435" s="592">
        <f t="shared" si="218"/>
        <v>-4.4688196555460964</v>
      </c>
      <c r="AH435" s="593">
        <f t="shared" si="219"/>
        <v>-73.336009500686885</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5">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1.0428934762236033</v>
      </c>
      <c r="N436" s="585">
        <f t="shared" si="206"/>
        <v>-0.28779981899534068</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-4.1401619329281205</v>
      </c>
      <c r="X436" s="590">
        <f t="shared" si="212"/>
        <v>-148.61532489946072</v>
      </c>
      <c r="Y436" s="593">
        <f t="shared" si="213"/>
        <v>31.384675100539283</v>
      </c>
      <c r="AA436" s="150">
        <f t="shared" si="214"/>
        <v>44414</v>
      </c>
      <c r="AB436" s="150">
        <f t="shared" si="215"/>
        <v>1972603396</v>
      </c>
      <c r="AD436" s="592">
        <f t="shared" si="216"/>
        <v>27.396864035423427</v>
      </c>
      <c r="AE436" s="593">
        <f t="shared" si="217"/>
        <v>-14.294609055958702</v>
      </c>
      <c r="AG436" s="592">
        <f t="shared" si="218"/>
        <v>-4.5060040973647517</v>
      </c>
      <c r="AH436" s="593">
        <f t="shared" si="219"/>
        <v>-73.265096626566617</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5">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1.0433752582736433</v>
      </c>
      <c r="N437" s="585">
        <f t="shared" si="206"/>
        <v>-0.28935561267098286</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-4.1966542076475957</v>
      </c>
      <c r="X437" s="590">
        <f t="shared" si="212"/>
        <v>-148.92372336323811</v>
      </c>
      <c r="Y437" s="593">
        <f t="shared" si="213"/>
        <v>31.076276636761889</v>
      </c>
      <c r="AA437" s="150">
        <f t="shared" si="214"/>
        <v>44668</v>
      </c>
      <c r="AB437" s="150">
        <f t="shared" si="215"/>
        <v>1995230224</v>
      </c>
      <c r="AD437" s="592">
        <f t="shared" si="216"/>
        <v>27.39445583509842</v>
      </c>
      <c r="AE437" s="593">
        <f t="shared" si="217"/>
        <v>-14.354552721637347</v>
      </c>
      <c r="AG437" s="592">
        <f t="shared" si="218"/>
        <v>-4.5428516787236077</v>
      </c>
      <c r="AH437" s="593">
        <f t="shared" si="219"/>
        <v>-73.194233795445925</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5">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1.0438715122077264</v>
      </c>
      <c r="N438" s="585">
        <f t="shared" si="206"/>
        <v>-0.29094819516222598</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-4.2542724770721891</v>
      </c>
      <c r="X438" s="590">
        <f t="shared" si="212"/>
        <v>-149.23938409923602</v>
      </c>
      <c r="Y438" s="593">
        <f t="shared" si="213"/>
        <v>30.76061590076398</v>
      </c>
      <c r="AA438" s="150">
        <f t="shared" si="214"/>
        <v>44928.25</v>
      </c>
      <c r="AB438" s="150">
        <f t="shared" si="215"/>
        <v>2018547648.0625</v>
      </c>
      <c r="AD438" s="592">
        <f t="shared" si="216"/>
        <v>27.391976508529691</v>
      </c>
      <c r="AE438" s="593">
        <f t="shared" si="217"/>
        <v>-14.41604580526578</v>
      </c>
      <c r="AG438" s="592">
        <f t="shared" si="218"/>
        <v>-4.5802601773681406</v>
      </c>
      <c r="AH438" s="593">
        <f t="shared" si="219"/>
        <v>-73.121680784162351</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5">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1.0443704112129215</v>
      </c>
      <c r="N439" s="585">
        <f t="shared" si="206"/>
        <v>-0.29253926012245879</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-4.3116266725213093</v>
      </c>
      <c r="X439" s="590">
        <f t="shared" si="212"/>
        <v>-149.5547132453743</v>
      </c>
      <c r="Y439" s="593">
        <f t="shared" si="213"/>
        <v>30.445286754625698</v>
      </c>
      <c r="AA439" s="150">
        <f t="shared" si="214"/>
        <v>45188.5</v>
      </c>
      <c r="AB439" s="150">
        <f t="shared" si="215"/>
        <v>2042000532.25</v>
      </c>
      <c r="AD439" s="592">
        <f t="shared" si="216"/>
        <v>27.389485172718096</v>
      </c>
      <c r="AE439" s="593">
        <f t="shared" si="217"/>
        <v>-14.477612060823809</v>
      </c>
      <c r="AG439" s="592">
        <f t="shared" si="218"/>
        <v>-4.6173223542602146</v>
      </c>
      <c r="AH439" s="593">
        <f t="shared" si="219"/>
        <v>-73.049183489852581</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5">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1.0448719515003722</v>
      </c>
      <c r="N440" s="585">
        <f t="shared" si="206"/>
        <v>-0.29412880167569205</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-4.3687199681955855</v>
      </c>
      <c r="X440" s="590">
        <f t="shared" si="212"/>
        <v>-149.86970946316296</v>
      </c>
      <c r="Y440" s="593">
        <f t="shared" si="213"/>
        <v>30.130290536837038</v>
      </c>
      <c r="AA440" s="150">
        <f t="shared" si="214"/>
        <v>45448.75</v>
      </c>
      <c r="AB440" s="150">
        <f t="shared" si="215"/>
        <v>2065588876.5625</v>
      </c>
      <c r="AD440" s="592">
        <f t="shared" si="216"/>
        <v>27.386981832650786</v>
      </c>
      <c r="AE440" s="593">
        <f t="shared" si="217"/>
        <v>-14.539249358012109</v>
      </c>
      <c r="AG440" s="592">
        <f t="shared" si="218"/>
        <v>-4.6540418266068908</v>
      </c>
      <c r="AH440" s="593">
        <f t="shared" si="219"/>
        <v>-72.976743456656223</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5">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1.0453761292684525</v>
      </c>
      <c r="N441" s="585">
        <f t="shared" si="206"/>
        <v>-0.29571681398797572</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-4.4255554810659037</v>
      </c>
      <c r="X441" s="590">
        <f t="shared" si="212"/>
        <v>-150.18437143814779</v>
      </c>
      <c r="Y441" s="593">
        <f t="shared" si="213"/>
        <v>29.815628561852208</v>
      </c>
      <c r="AA441" s="150">
        <f t="shared" si="214"/>
        <v>45709</v>
      </c>
      <c r="AB441" s="150">
        <f t="shared" si="215"/>
        <v>2089312681</v>
      </c>
      <c r="AD441" s="592">
        <f t="shared" si="216"/>
        <v>27.384466493893946</v>
      </c>
      <c r="AE441" s="593">
        <f t="shared" si="217"/>
        <v>-14.600955611440146</v>
      </c>
      <c r="AG441" s="592">
        <f t="shared" si="218"/>
        <v>-4.6904221544824427</v>
      </c>
      <c r="AH441" s="593">
        <f t="shared" si="219"/>
        <v>-72.904362185940712</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5">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1.0458946561451523</v>
      </c>
      <c r="N442" s="585">
        <f t="shared" si="206"/>
        <v>-0.29733984896382759</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-4.4834377485186527</v>
      </c>
      <c r="X442" s="590">
        <f t="shared" si="212"/>
        <v>-150.50594063157143</v>
      </c>
      <c r="Y442" s="593">
        <f t="shared" si="213"/>
        <v>29.494059368428566</v>
      </c>
      <c r="AA442" s="150">
        <f t="shared" si="214"/>
        <v>45975.25</v>
      </c>
      <c r="AB442" s="150">
        <f t="shared" si="215"/>
        <v>2113723612.5625</v>
      </c>
      <c r="AD442" s="592">
        <f t="shared" si="216"/>
        <v>27.381880754193105</v>
      </c>
      <c r="AE442" s="593">
        <f t="shared" si="217"/>
        <v>-14.664153717785476</v>
      </c>
      <c r="AG442" s="592">
        <f t="shared" si="218"/>
        <v>-4.7272939128346545</v>
      </c>
      <c r="AH442" s="593">
        <f t="shared" si="219"/>
        <v>-72.830374514835029</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5">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1.0464159354273188</v>
      </c>
      <c r="N443" s="585">
        <f t="shared" si="206"/>
        <v>-0.29896127115533006</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-4.5410566320673649</v>
      </c>
      <c r="X443" s="590">
        <f t="shared" si="212"/>
        <v>-150.82715728512625</v>
      </c>
      <c r="Y443" s="593">
        <f t="shared" si="213"/>
        <v>29.172842714873752</v>
      </c>
      <c r="AA443" s="150">
        <f t="shared" si="214"/>
        <v>46241.5</v>
      </c>
      <c r="AB443" s="150">
        <f t="shared" si="215"/>
        <v>2138276322.25</v>
      </c>
      <c r="AD443" s="592">
        <f t="shared" si="216"/>
        <v>27.379282469739174</v>
      </c>
      <c r="AE443" s="593">
        <f t="shared" si="217"/>
        <v>-14.727419719522963</v>
      </c>
      <c r="AG443" s="592">
        <f t="shared" si="218"/>
        <v>-4.7638180691774918</v>
      </c>
      <c r="AH443" s="593">
        <f t="shared" si="219"/>
        <v>-72.756451393273352</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5">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1.0469399630036218</v>
      </c>
      <c r="N444" s="585">
        <f t="shared" si="206"/>
        <v>-0.30058107445245441</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-4.598415291813831</v>
      </c>
      <c r="X444" s="590">
        <f t="shared" si="212"/>
        <v>-151.14802006729391</v>
      </c>
      <c r="Y444" s="593">
        <f t="shared" si="213"/>
        <v>28.851979932706087</v>
      </c>
      <c r="AA444" s="150">
        <f t="shared" si="214"/>
        <v>46507.75</v>
      </c>
      <c r="AB444" s="150">
        <f t="shared" si="215"/>
        <v>2162970810.0625</v>
      </c>
      <c r="AD444" s="592">
        <f t="shared" si="216"/>
        <v>27.376671648263098</v>
      </c>
      <c r="AE444" s="593">
        <f t="shared" si="217"/>
        <v>-14.79075152160466</v>
      </c>
      <c r="AG444" s="592">
        <f t="shared" si="218"/>
        <v>-4.7999982581046865</v>
      </c>
      <c r="AH444" s="593">
        <f t="shared" si="219"/>
        <v>-72.682594296474448</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5">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1.0474667347493041</v>
      </c>
      <c r="N445" s="585">
        <f t="shared" si="206"/>
        <v>-0.30219925279134735</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-4.6555168307737977</v>
      </c>
      <c r="X445" s="590">
        <f t="shared" si="212"/>
        <v>-151.46852767147232</v>
      </c>
      <c r="Y445" s="593">
        <f t="shared" si="213"/>
        <v>28.531472328527684</v>
      </c>
      <c r="AA445" s="150">
        <f t="shared" si="214"/>
        <v>46774</v>
      </c>
      <c r="AB445" s="150">
        <f t="shared" si="215"/>
        <v>2187807076</v>
      </c>
      <c r="AD445" s="592">
        <f t="shared" si="216"/>
        <v>27.374048298057716</v>
      </c>
      <c r="AE445" s="593">
        <f t="shared" si="217"/>
        <v>-14.854147072927974</v>
      </c>
      <c r="AG445" s="592">
        <f t="shared" si="218"/>
        <v>-4.8358380570409425</v>
      </c>
      <c r="AH445" s="593">
        <f t="shared" si="219"/>
        <v>-72.608804657130946</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5">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1.0480082107232034</v>
      </c>
      <c r="N446" s="585">
        <f t="shared" si="206"/>
        <v>-0.3038522105529064</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-4.7136424618737029</v>
      </c>
      <c r="X446" s="590">
        <f t="shared" si="212"/>
        <v>-151.79588937253399</v>
      </c>
      <c r="Y446" s="593">
        <f t="shared" si="213"/>
        <v>28.204110627466008</v>
      </c>
      <c r="AA446" s="150">
        <f t="shared" si="214"/>
        <v>47046.25</v>
      </c>
      <c r="AB446" s="150">
        <f t="shared" si="215"/>
        <v>2213349639.0625</v>
      </c>
      <c r="AD446" s="592">
        <f t="shared" si="216"/>
        <v>27.371352883895192</v>
      </c>
      <c r="AE446" s="593">
        <f t="shared" si="217"/>
        <v>-14.919035084598075</v>
      </c>
      <c r="AG446" s="592">
        <f t="shared" si="218"/>
        <v>-4.8721371993483089</v>
      </c>
      <c r="AH446" s="593">
        <f t="shared" si="219"/>
        <v>-72.533423356634543</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5">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1.0485525471758859</v>
      </c>
      <c r="N447" s="585">
        <f t="shared" si="206"/>
        <v>-0.30550345661797962</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-4.7715056380346139</v>
      </c>
      <c r="X447" s="590">
        <f t="shared" si="212"/>
        <v>-152.12287702241466</v>
      </c>
      <c r="Y447" s="593">
        <f t="shared" si="213"/>
        <v>27.877122977585344</v>
      </c>
      <c r="AA447" s="150">
        <f t="shared" si="214"/>
        <v>47318.5</v>
      </c>
      <c r="AB447" s="150">
        <f t="shared" si="215"/>
        <v>2239040442.25</v>
      </c>
      <c r="AD447" s="592">
        <f t="shared" si="216"/>
        <v>27.368644389230042</v>
      </c>
      <c r="AE447" s="593">
        <f t="shared" si="217"/>
        <v>-14.983985549017731</v>
      </c>
      <c r="AG447" s="592">
        <f t="shared" si="218"/>
        <v>-4.9080878250297078</v>
      </c>
      <c r="AH447" s="593">
        <f t="shared" si="219"/>
        <v>-72.458115486157624</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5">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1.0490997396547828</v>
      </c>
      <c r="N448" s="585">
        <f t="shared" si="206"/>
        <v>-0.30715298465337404</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-4.8291095001284452</v>
      </c>
      <c r="X448" s="590">
        <f t="shared" si="212"/>
        <v>-152.44948930283414</v>
      </c>
      <c r="Y448" s="593">
        <f t="shared" si="213"/>
        <v>27.550510697165862</v>
      </c>
      <c r="AA448" s="150">
        <f t="shared" si="214"/>
        <v>47590.75</v>
      </c>
      <c r="AB448" s="150">
        <f t="shared" si="215"/>
        <v>2264879485.5625</v>
      </c>
      <c r="AD448" s="592">
        <f t="shared" si="216"/>
        <v>27.365922824644997</v>
      </c>
      <c r="AE448" s="593">
        <f t="shared" si="217"/>
        <v>-15.048996408019164</v>
      </c>
      <c r="AG448" s="592">
        <f t="shared" si="218"/>
        <v>-4.9436935816059799</v>
      </c>
      <c r="AH448" s="593">
        <f t="shared" si="219"/>
        <v>-72.382882445991243</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5">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1.0496497836932732</v>
      </c>
      <c r="N449" s="585">
        <f t="shared" si="206"/>
        <v>-0.30880078837646541</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-4.8864571322076538</v>
      </c>
      <c r="X449" s="590">
        <f t="shared" si="212"/>
        <v>-152.7757249213243</v>
      </c>
      <c r="Y449" s="593">
        <f t="shared" si="213"/>
        <v>27.224275078675703</v>
      </c>
      <c r="AA449" s="150">
        <f t="shared" si="214"/>
        <v>47863</v>
      </c>
      <c r="AB449" s="150">
        <f t="shared" si="215"/>
        <v>2290866769</v>
      </c>
      <c r="AD449" s="592">
        <f t="shared" si="216"/>
        <v>27.363188201267672</v>
      </c>
      <c r="AE449" s="593">
        <f t="shared" si="217"/>
        <v>-15.114065646363359</v>
      </c>
      <c r="AG449" s="592">
        <f t="shared" si="218"/>
        <v>-4.9789580594943086</v>
      </c>
      <c r="AH449" s="593">
        <f t="shared" si="219"/>
        <v>-72.307725594198303</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5">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1.0502159099113226</v>
      </c>
      <c r="N450" s="585">
        <f t="shared" si="206"/>
        <v>-0.31048614053853102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-4.9449116287650492</v>
      </c>
      <c r="X450" s="590">
        <f t="shared" si="212"/>
        <v>-153.10935787108141</v>
      </c>
      <c r="Y450" s="593">
        <f t="shared" si="213"/>
        <v>26.890642128918586</v>
      </c>
      <c r="AA450" s="150">
        <f t="shared" si="214"/>
        <v>48141.75</v>
      </c>
      <c r="AB450" s="150">
        <f t="shared" si="215"/>
        <v>2317628093.0625</v>
      </c>
      <c r="AD450" s="592">
        <f t="shared" si="216"/>
        <v>27.360374770435605</v>
      </c>
      <c r="AE450" s="593">
        <f t="shared" si="217"/>
        <v>-15.180746846191202</v>
      </c>
      <c r="AG450" s="592">
        <f t="shared" si="218"/>
        <v>-5.0147145737575105</v>
      </c>
      <c r="AH450" s="593">
        <f t="shared" si="219"/>
        <v>-72.230854677508489</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5">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1.0507850159558898</v>
      </c>
      <c r="N451" s="585">
        <f t="shared" si="206"/>
        <v>-0.31216967190192924</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-5.0031038806738355</v>
      </c>
      <c r="X451" s="590">
        <f t="shared" si="212"/>
        <v>-153.44259329778055</v>
      </c>
      <c r="Y451" s="593">
        <f t="shared" si="213"/>
        <v>26.557406702219453</v>
      </c>
      <c r="AA451" s="150">
        <f t="shared" si="214"/>
        <v>48420.5</v>
      </c>
      <c r="AB451" s="150">
        <f t="shared" si="215"/>
        <v>2344544820.25</v>
      </c>
      <c r="AD451" s="592">
        <f t="shared" si="216"/>
        <v>27.35754767509842</v>
      </c>
      <c r="AE451" s="593">
        <f t="shared" si="217"/>
        <v>-15.247485103414274</v>
      </c>
      <c r="AG451" s="592">
        <f t="shared" si="218"/>
        <v>-5.0501207583525245</v>
      </c>
      <c r="AH451" s="593">
        <f t="shared" si="219"/>
        <v>-72.154066380613557</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5">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1.0513570969879795</v>
      </c>
      <c r="N452" s="585">
        <f t="shared" si="206"/>
        <v>-0.31385137588807122</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-5.0610370215421598</v>
      </c>
      <c r="X452" s="590">
        <f t="shared" si="212"/>
        <v>-153.77542989606886</v>
      </c>
      <c r="Y452" s="593">
        <f t="shared" si="213"/>
        <v>26.224570103931143</v>
      </c>
      <c r="AA452" s="150">
        <f t="shared" si="214"/>
        <v>48699.25</v>
      </c>
      <c r="AB452" s="150">
        <f t="shared" si="215"/>
        <v>2371616950.5625</v>
      </c>
      <c r="AD452" s="592">
        <f t="shared" si="216"/>
        <v>27.354706928873213</v>
      </c>
      <c r="AE452" s="593">
        <f t="shared" si="217"/>
        <v>-15.314278387236008</v>
      </c>
      <c r="AG452" s="592">
        <f t="shared" si="218"/>
        <v>-5.0851802891672246</v>
      </c>
      <c r="AH452" s="593">
        <f t="shared" si="219"/>
        <v>-72.07736203000411</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5">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1.0519321481538551</v>
      </c>
      <c r="N453" s="585">
        <f t="shared" si="206"/>
        <v>-0.31553124597398591</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-5.11871412813794</v>
      </c>
      <c r="X453" s="590">
        <f t="shared" si="212"/>
        <v>-154.10786638750747</v>
      </c>
      <c r="Y453" s="593">
        <f t="shared" si="213"/>
        <v>25.892133612492529</v>
      </c>
      <c r="AA453" s="150">
        <f t="shared" si="214"/>
        <v>48978</v>
      </c>
      <c r="AB453" s="150">
        <f t="shared" si="215"/>
        <v>2398844484</v>
      </c>
      <c r="AD453" s="592">
        <f t="shared" si="216"/>
        <v>27.351852545908951</v>
      </c>
      <c r="AE453" s="593">
        <f t="shared" si="217"/>
        <v>-15.381124709028517</v>
      </c>
      <c r="AG453" s="592">
        <f t="shared" si="218"/>
        <v>-5.1198967847378141</v>
      </c>
      <c r="AH453" s="593">
        <f t="shared" si="219"/>
        <v>-72.000742909988901</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5">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1.0525236783347913</v>
      </c>
      <c r="N454" s="585">
        <f t="shared" si="206"/>
        <v>-0.3172483826271762</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-5.1774742641320639</v>
      </c>
      <c r="X454" s="590">
        <f t="shared" si="212"/>
        <v>-154.44763924494725</v>
      </c>
      <c r="Y454" s="593">
        <f t="shared" si="213"/>
        <v>25.552360755052746</v>
      </c>
      <c r="AA454" s="150">
        <f t="shared" si="214"/>
        <v>49263.25</v>
      </c>
      <c r="AB454" s="150">
        <f t="shared" si="215"/>
        <v>2426867800.5625</v>
      </c>
      <c r="AD454" s="592">
        <f t="shared" si="216"/>
        <v>27.348917501218722</v>
      </c>
      <c r="AE454" s="593">
        <f t="shared" si="217"/>
        <v>-15.449582654960324</v>
      </c>
      <c r="AG454" s="592">
        <f t="shared" si="218"/>
        <v>-5.1550714022535278</v>
      </c>
      <c r="AH454" s="593">
        <f t="shared" si="219"/>
        <v>-71.922426687404226</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5">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1.0531183084514528</v>
      </c>
      <c r="N455" s="585">
        <f t="shared" si="206"/>
        <v>-0.31896358521340967</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-5.2359726283714494</v>
      </c>
      <c r="X455" s="590">
        <f t="shared" si="212"/>
        <v>-154.78699049438566</v>
      </c>
      <c r="Y455" s="593">
        <f t="shared" si="213"/>
        <v>25.213009505614338</v>
      </c>
      <c r="AA455" s="150">
        <f t="shared" si="214"/>
        <v>49548.5</v>
      </c>
      <c r="AB455" s="150">
        <f t="shared" si="215"/>
        <v>2455053852.25</v>
      </c>
      <c r="AD455" s="592">
        <f t="shared" si="216"/>
        <v>27.345968208019464</v>
      </c>
      <c r="AE455" s="593">
        <f t="shared" si="217"/>
        <v>-15.518092058030906</v>
      </c>
      <c r="AG455" s="592">
        <f t="shared" si="218"/>
        <v>-5.1898942883346031</v>
      </c>
      <c r="AH455" s="593">
        <f t="shared" si="219"/>
        <v>-71.844202306757111</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5">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1.0537160332557984</v>
      </c>
      <c r="N456" s="585">
        <f t="shared" si="206"/>
        <v>-0.32067684692356091</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-5.2942123415551023</v>
      </c>
      <c r="X456" s="590">
        <f t="shared" si="212"/>
        <v>-155.12591885113738</v>
      </c>
      <c r="Y456" s="593">
        <f t="shared" si="213"/>
        <v>24.874081148862615</v>
      </c>
      <c r="AA456" s="150">
        <f t="shared" si="214"/>
        <v>49833.75</v>
      </c>
      <c r="AB456" s="150">
        <f t="shared" si="215"/>
        <v>2483402639.0625</v>
      </c>
      <c r="AD456" s="592">
        <f t="shared" si="216"/>
        <v>27.34300468310424</v>
      </c>
      <c r="AE456" s="593">
        <f t="shared" si="217"/>
        <v>-15.586650916915618</v>
      </c>
      <c r="AG456" s="592">
        <f t="shared" si="218"/>
        <v>-5.2243691422661298</v>
      </c>
      <c r="AH456" s="593">
        <f t="shared" si="219"/>
        <v>-71.766071013489736</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5">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1.0543168474844058</v>
      </c>
      <c r="N457" s="585">
        <f t="shared" si="206"/>
        <v>-0.32238816100948148</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-5.3521964676586942</v>
      </c>
      <c r="X457" s="590">
        <f t="shared" si="212"/>
        <v>-155.46442305854478</v>
      </c>
      <c r="Y457" s="593">
        <f t="shared" si="213"/>
        <v>24.535576941455219</v>
      </c>
      <c r="AA457" s="150">
        <f t="shared" si="214"/>
        <v>50119</v>
      </c>
      <c r="AB457" s="150">
        <f t="shared" si="215"/>
        <v>2511914161</v>
      </c>
      <c r="AD457" s="592">
        <f t="shared" si="216"/>
        <v>27.340026943784757</v>
      </c>
      <c r="AE457" s="593">
        <f t="shared" si="217"/>
        <v>-15.655257271634081</v>
      </c>
      <c r="AG457" s="592">
        <f t="shared" si="218"/>
        <v>-5.2584996058442321</v>
      </c>
      <c r="AH457" s="593">
        <f t="shared" si="219"/>
        <v>-71.688034010979294</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5">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1.0549345428068027</v>
      </c>
      <c r="N458" s="585">
        <f t="shared" si="206"/>
        <v>-0.32413644918856316</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-5.4112406256825505</v>
      </c>
      <c r="X458" s="590">
        <f t="shared" si="212"/>
        <v>-155.81020073319073</v>
      </c>
      <c r="Y458" s="593">
        <f t="shared" si="213"/>
        <v>24.189799266809274</v>
      </c>
      <c r="AA458" s="150">
        <f t="shared" si="214"/>
        <v>50410.75</v>
      </c>
      <c r="AB458" s="150">
        <f t="shared" si="215"/>
        <v>2541243715.5625</v>
      </c>
      <c r="AD458" s="592">
        <f t="shared" si="216"/>
        <v>27.336966665254451</v>
      </c>
      <c r="AE458" s="593">
        <f t="shared" si="217"/>
        <v>-15.725474092200237</v>
      </c>
      <c r="AG458" s="592">
        <f t="shared" si="218"/>
        <v>-5.2930552869785181</v>
      </c>
      <c r="AH458" s="593">
        <f t="shared" si="219"/>
        <v>-71.608317526400128</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5">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1.0555554587693119</v>
      </c>
      <c r="N459" s="585">
        <f t="shared" si="206"/>
        <v>-0.32588268588692709</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-5.470023723214017</v>
      </c>
      <c r="X459" s="590">
        <f t="shared" si="212"/>
        <v>-156.15553213715577</v>
      </c>
      <c r="Y459" s="593">
        <f t="shared" si="213"/>
        <v>23.844467862844226</v>
      </c>
      <c r="AA459" s="150">
        <f t="shared" si="214"/>
        <v>50702.5</v>
      </c>
      <c r="AB459" s="150">
        <f t="shared" si="215"/>
        <v>2570743506.25</v>
      </c>
      <c r="AD459" s="592">
        <f t="shared" si="216"/>
        <v>27.333891555360267</v>
      </c>
      <c r="AE459" s="593">
        <f t="shared" si="217"/>
        <v>-15.795736578024135</v>
      </c>
      <c r="AG459" s="592">
        <f t="shared" si="218"/>
        <v>-5.3272582311318084</v>
      </c>
      <c r="AH459" s="593">
        <f t="shared" si="219"/>
        <v>-71.528702094618666</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5">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1.0561795896918005</v>
      </c>
      <c r="N460" s="585">
        <f t="shared" si="206"/>
        <v>-0.32762686408237252</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-5.5285488628332775</v>
      </c>
      <c r="X460" s="590">
        <f t="shared" si="212"/>
        <v>-156.50041601459446</v>
      </c>
      <c r="Y460" s="593">
        <f t="shared" si="213"/>
        <v>23.499583985405536</v>
      </c>
      <c r="AA460" s="150">
        <f t="shared" si="214"/>
        <v>50994.25</v>
      </c>
      <c r="AB460" s="150">
        <f t="shared" si="215"/>
        <v>2600413533.0625</v>
      </c>
      <c r="AD460" s="592">
        <f t="shared" si="216"/>
        <v>27.330801634213039</v>
      </c>
      <c r="AE460" s="593">
        <f t="shared" si="217"/>
        <v>-15.86604275900671</v>
      </c>
      <c r="AG460" s="592">
        <f t="shared" si="218"/>
        <v>-5.3611121563108357</v>
      </c>
      <c r="AH460" s="593">
        <f t="shared" si="219"/>
        <v>-71.44918887291314</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5">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1.0568069298781781</v>
      </c>
      <c r="N461" s="585">
        <f t="shared" ref="N461:N524" si="238">-ATAN(G461/z_RHP)</f>
        <v>-0.32936897681934285</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-5.5868190906433277</v>
      </c>
      <c r="X461" s="590">
        <f t="shared" ref="X461:X524" si="244">((L461+R461+N461+V461)-(J461+P461+T461))*radconv</f>
        <v>-156.84485113880967</v>
      </c>
      <c r="Y461" s="593">
        <f t="shared" ref="Y461:Y524" si="245">IF(X461&gt;0,X461,X461+180)</f>
        <v>23.155148861190327</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-5.3946207229979741</v>
      </c>
      <c r="AH461" s="593">
        <f t="shared" ref="AH461:AH524" si="251">(L461+N461-(J461+V461))*radconv</f>
        <v>-71.369778976682568</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5">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1.05745264165015</v>
      </c>
      <c r="N462" s="585">
        <f t="shared" si="238"/>
        <v>-0.33115074073570683</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-5.6462263689774748</v>
      </c>
      <c r="X462" s="590">
        <f t="shared" si="244"/>
        <v>-157.19708406082643</v>
      </c>
      <c r="Y462" s="593">
        <f t="shared" si="245"/>
        <v>22.802915939173573</v>
      </c>
      <c r="AA462" s="150">
        <f t="shared" si="246"/>
        <v>51584.75</v>
      </c>
      <c r="AB462" s="150">
        <f t="shared" si="247"/>
        <v>2660986432.5625</v>
      </c>
      <c r="AD462" s="592">
        <f t="shared" si="248"/>
        <v>27.324502413690837</v>
      </c>
      <c r="AE462" s="593">
        <f t="shared" si="249"/>
        <v>-16.008467826901985</v>
      </c>
      <c r="AG462" s="592">
        <f t="shared" si="250"/>
        <v>-5.4285791428272852</v>
      </c>
      <c r="AH462" s="593">
        <f t="shared" si="251"/>
        <v>-71.288571983309296</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5">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1.0581017063951228</v>
      </c>
      <c r="N463" s="585">
        <f t="shared" si="238"/>
        <v>-0.33293032434322095</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-5.7053726453486897</v>
      </c>
      <c r="X463" s="590">
        <f t="shared" si="244"/>
        <v>-157.54884392597552</v>
      </c>
      <c r="Y463" s="593">
        <f t="shared" si="245"/>
        <v>22.451156074024482</v>
      </c>
      <c r="AA463" s="150">
        <f t="shared" si="246"/>
        <v>51883.5</v>
      </c>
      <c r="AB463" s="150">
        <f t="shared" si="247"/>
        <v>2691897572.25</v>
      </c>
      <c r="AD463" s="592">
        <f t="shared" si="248"/>
        <v>27.321292441368822</v>
      </c>
      <c r="AE463" s="593">
        <f t="shared" si="249"/>
        <v>-16.080584772097225</v>
      </c>
      <c r="AG463" s="592">
        <f t="shared" si="250"/>
        <v>-5.4621830220497678</v>
      </c>
      <c r="AH463" s="593">
        <f t="shared" si="251"/>
        <v>-71.207475569896673</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5">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1.0587541179465185</v>
      </c>
      <c r="N464" s="585">
        <f t="shared" si="238"/>
        <v>-0.33470772039057944</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-5.7642610148184126</v>
      </c>
      <c r="X464" s="590">
        <f t="shared" si="244"/>
        <v>-157.90012950977589</v>
      </c>
      <c r="Y464" s="593">
        <f t="shared" si="245"/>
        <v>22.099870490224106</v>
      </c>
      <c r="AA464" s="150">
        <f t="shared" si="246"/>
        <v>52182.25</v>
      </c>
      <c r="AB464" s="150">
        <f t="shared" si="247"/>
        <v>2722987215.0625</v>
      </c>
      <c r="AD464" s="592">
        <f t="shared" si="248"/>
        <v>27.318067029153642</v>
      </c>
      <c r="AE464" s="593">
        <f t="shared" si="249"/>
        <v>-16.152739594009141</v>
      </c>
      <c r="AG464" s="592">
        <f t="shared" si="250"/>
        <v>-5.4954361116606565</v>
      </c>
      <c r="AH464" s="593">
        <f t="shared" si="251"/>
        <v>-71.126490803834329</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5">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1.0594098701211918</v>
      </c>
      <c r="N465" s="585">
        <f t="shared" si="238"/>
        <v>-0.33648292169957883</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-5.822894515965384</v>
      </c>
      <c r="X465" s="590">
        <f t="shared" si="244"/>
        <v>-158.25093961821955</v>
      </c>
      <c r="Y465" s="593">
        <f t="shared" si="245"/>
        <v>21.749060381780453</v>
      </c>
      <c r="AA465" s="150">
        <f t="shared" si="246"/>
        <v>52481</v>
      </c>
      <c r="AB465" s="150">
        <f t="shared" si="247"/>
        <v>2754255361</v>
      </c>
      <c r="AD465" s="592">
        <f t="shared" si="248"/>
        <v>27.314826201231234</v>
      </c>
      <c r="AE465" s="593">
        <f t="shared" si="249"/>
        <v>-16.224930385357023</v>
      </c>
      <c r="AG465" s="592">
        <f t="shared" si="250"/>
        <v>-5.5283421048060157</v>
      </c>
      <c r="AH465" s="593">
        <f t="shared" si="251"/>
        <v>-71.045618710608764</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5">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1.0600838866879898</v>
      </c>
      <c r="N466" s="585">
        <f t="shared" si="238"/>
        <v>-0.33829595507590415</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-5.8825923278126115</v>
      </c>
      <c r="X466" s="590">
        <f t="shared" si="244"/>
        <v>-158.60918305645686</v>
      </c>
      <c r="Y466" s="593">
        <f t="shared" si="245"/>
        <v>21.390816943543143</v>
      </c>
      <c r="AA466" s="150">
        <f t="shared" si="246"/>
        <v>52786.5</v>
      </c>
      <c r="AB466" s="150">
        <f t="shared" si="247"/>
        <v>2786414582.25</v>
      </c>
      <c r="AD466" s="592">
        <f t="shared" si="248"/>
        <v>27.311496233186908</v>
      </c>
      <c r="AE466" s="593">
        <f t="shared" si="249"/>
        <v>-16.298787516690421</v>
      </c>
      <c r="AG466" s="592">
        <f t="shared" si="250"/>
        <v>-5.5616364207994176</v>
      </c>
      <c r="AH466" s="593">
        <f t="shared" si="251"/>
        <v>-70.963036927625311</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5">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1.060761383411003</v>
      </c>
      <c r="N467" s="585">
        <f t="shared" si="238"/>
        <v>-0.34010667846864506</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-5.9420298757022358</v>
      </c>
      <c r="X467" s="590">
        <f t="shared" si="244"/>
        <v>-158.96692686124857</v>
      </c>
      <c r="Y467" s="593">
        <f t="shared" si="245"/>
        <v>21.033073138751433</v>
      </c>
      <c r="AA467" s="150">
        <f t="shared" si="246"/>
        <v>53092</v>
      </c>
      <c r="AB467" s="150">
        <f t="shared" si="247"/>
        <v>2818760464</v>
      </c>
      <c r="AD467" s="592">
        <f t="shared" si="248"/>
        <v>27.308150197635385</v>
      </c>
      <c r="AE467" s="593">
        <f t="shared" si="249"/>
        <v>-16.37267835006412</v>
      </c>
      <c r="AG467" s="592">
        <f t="shared" si="250"/>
        <v>-5.5945754098127161</v>
      </c>
      <c r="AH467" s="593">
        <f t="shared" si="251"/>
        <v>-70.880575005458027</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5">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1.061442353626296</v>
      </c>
      <c r="N468" s="585">
        <f t="shared" si="238"/>
        <v>-0.34191508443874097</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-6.0012102341097773</v>
      </c>
      <c r="X468" s="590">
        <f t="shared" si="244"/>
        <v>-159.32416985222866</v>
      </c>
      <c r="Y468" s="593">
        <f t="shared" si="245"/>
        <v>20.675830147771336</v>
      </c>
      <c r="AA468" s="150">
        <f t="shared" si="246"/>
        <v>53397.5</v>
      </c>
      <c r="AB468" s="150">
        <f t="shared" si="247"/>
        <v>2851293006.25</v>
      </c>
      <c r="AD468" s="592">
        <f t="shared" si="248"/>
        <v>27.304788121956456</v>
      </c>
      <c r="AE468" s="593">
        <f t="shared" si="249"/>
        <v>-16.446600968184352</v>
      </c>
      <c r="AG468" s="592">
        <f t="shared" si="250"/>
        <v>-5.6271628415036439</v>
      </c>
      <c r="AH468" s="593">
        <f t="shared" si="251"/>
        <v>-70.798233910986028</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5">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1.0621267906529017</v>
      </c>
      <c r="N469" s="585">
        <f t="shared" si="238"/>
        <v>-0.34372116562679006</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-6.0601364213460212</v>
      </c>
      <c r="X469" s="590">
        <f t="shared" si="244"/>
        <v>-159.68091088072705</v>
      </c>
      <c r="Y469" s="593">
        <f t="shared" si="245"/>
        <v>20.319089119272945</v>
      </c>
      <c r="AA469" s="150">
        <f t="shared" si="246"/>
        <v>53703</v>
      </c>
      <c r="AB469" s="150">
        <f t="shared" si="247"/>
        <v>2884012209</v>
      </c>
      <c r="AD469" s="592">
        <f t="shared" si="248"/>
        <v>27.301410034012903</v>
      </c>
      <c r="AE469" s="593">
        <f t="shared" si="249"/>
        <v>-16.520553492729153</v>
      </c>
      <c r="AG469" s="592">
        <f t="shared" si="250"/>
        <v>-5.6594024276521644</v>
      </c>
      <c r="AH469" s="593">
        <f t="shared" si="251"/>
        <v>-70.716014569384228</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5">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1.0628310546606652</v>
      </c>
      <c r="N470" s="585">
        <f t="shared" si="238"/>
        <v>-0.34556769219567096</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-6.1202008237209355</v>
      </c>
      <c r="X470" s="590">
        <f t="shared" si="244"/>
        <v>-160.04559680137905</v>
      </c>
      <c r="Y470" s="593">
        <f t="shared" si="245"/>
        <v>19.954403198620952</v>
      </c>
      <c r="AA470" s="150">
        <f t="shared" si="246"/>
        <v>54015.75</v>
      </c>
      <c r="AB470" s="150">
        <f t="shared" si="247"/>
        <v>2917701248.0625</v>
      </c>
      <c r="AD470" s="592">
        <f t="shared" si="248"/>
        <v>27.297935221495123</v>
      </c>
      <c r="AE470" s="593">
        <f t="shared" si="249"/>
        <v>-16.596290086231051</v>
      </c>
      <c r="AG470" s="592">
        <f t="shared" si="250"/>
        <v>-5.6920506003959916</v>
      </c>
      <c r="AH470" s="593">
        <f t="shared" si="251"/>
        <v>-70.631971076686355</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5">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1.0635389377547473</v>
      </c>
      <c r="N471" s="585">
        <f t="shared" si="238"/>
        <v>-0.34741176697834264</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-6.1800050749232103</v>
      </c>
      <c r="X471" s="590">
        <f t="shared" si="244"/>
        <v>-160.40975431596061</v>
      </c>
      <c r="Y471" s="593">
        <f t="shared" si="245"/>
        <v>19.590245684039388</v>
      </c>
      <c r="AA471" s="150">
        <f t="shared" si="246"/>
        <v>54328.5</v>
      </c>
      <c r="AB471" s="150">
        <f t="shared" si="247"/>
        <v>2951585912.25</v>
      </c>
      <c r="AD471" s="592">
        <f t="shared" si="248"/>
        <v>27.294443688289924</v>
      </c>
      <c r="AE471" s="593">
        <f t="shared" si="249"/>
        <v>-16.672054159282268</v>
      </c>
      <c r="AG471" s="592">
        <f t="shared" si="250"/>
        <v>-5.724341913828848</v>
      </c>
      <c r="AH471" s="593">
        <f t="shared" si="251"/>
        <v>-70.548057016670327</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5">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1.0642504327134741</v>
      </c>
      <c r="N472" s="585">
        <f t="shared" si="238"/>
        <v>-0.34925338233778574</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-6.2395522388664384</v>
      </c>
      <c r="X472" s="590">
        <f t="shared" si="244"/>
        <v>-160.77338229275077</v>
      </c>
      <c r="Y472" s="593">
        <f t="shared" si="245"/>
        <v>19.226617707249233</v>
      </c>
      <c r="AA472" s="150">
        <f t="shared" si="246"/>
        <v>54641.25</v>
      </c>
      <c r="AB472" s="150">
        <f t="shared" si="247"/>
        <v>2985666201.5625</v>
      </c>
      <c r="AD472" s="592">
        <f t="shared" si="248"/>
        <v>27.290935465777725</v>
      </c>
      <c r="AE472" s="593">
        <f t="shared" si="249"/>
        <v>-16.747843816762856</v>
      </c>
      <c r="AG472" s="592">
        <f t="shared" si="250"/>
        <v>-5.7562801699697816</v>
      </c>
      <c r="AH472" s="593">
        <f t="shared" si="251"/>
        <v>-70.46427325236688</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5">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1.0649655322976714</v>
      </c>
      <c r="N473" s="585">
        <f t="shared" si="238"/>
        <v>-0.35109253072406732</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-6.2988453233828974</v>
      </c>
      <c r="X473" s="590">
        <f t="shared" si="244"/>
        <v>-161.13647963314742</v>
      </c>
      <c r="Y473" s="593">
        <f t="shared" si="245"/>
        <v>18.863520366852583</v>
      </c>
      <c r="AA473" s="150">
        <f t="shared" si="246"/>
        <v>54954</v>
      </c>
      <c r="AB473" s="150">
        <f t="shared" si="247"/>
        <v>3019942116</v>
      </c>
      <c r="AD473" s="592">
        <f t="shared" si="248"/>
        <v>27.287410585812637</v>
      </c>
      <c r="AE473" s="593">
        <f t="shared" si="249"/>
        <v>-16.823657201891535</v>
      </c>
      <c r="AG473" s="592">
        <f t="shared" si="250"/>
        <v>-5.7878691126517037</v>
      </c>
      <c r="AH473" s="593">
        <f t="shared" si="251"/>
        <v>-70.380620605117329</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5">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1.065700932296497</v>
      </c>
      <c r="N474" s="585">
        <f t="shared" si="238"/>
        <v>-0.35297175204391379</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-6.3592530051108662</v>
      </c>
      <c r="X474" s="590">
        <f t="shared" si="244"/>
        <v>-161.50744375621295</v>
      </c>
      <c r="Y474" s="593">
        <f t="shared" si="245"/>
        <v>18.49255624378705</v>
      </c>
      <c r="AA474" s="150">
        <f t="shared" si="246"/>
        <v>55274</v>
      </c>
      <c r="AB474" s="150">
        <f t="shared" si="247"/>
        <v>3055215076</v>
      </c>
      <c r="AD474" s="592">
        <f t="shared" si="248"/>
        <v>27.283786786565422</v>
      </c>
      <c r="AE474" s="593">
        <f t="shared" si="249"/>
        <v>-16.90125071310289</v>
      </c>
      <c r="AG474" s="592">
        <f t="shared" si="250"/>
        <v>-5.8198326245302212</v>
      </c>
      <c r="AH474" s="593">
        <f t="shared" si="251"/>
        <v>-70.295165293290538</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5">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1.0664400905909079</v>
      </c>
      <c r="N475" s="585">
        <f t="shared" si="238"/>
        <v>-0.35484837497622623</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-6.4194008876683402</v>
      </c>
      <c r="X475" s="590">
        <f t="shared" si="244"/>
        <v>-161.87785013338112</v>
      </c>
      <c r="Y475" s="593">
        <f t="shared" si="245"/>
        <v>18.122149866618884</v>
      </c>
      <c r="AA475" s="150">
        <f t="shared" si="246"/>
        <v>55594</v>
      </c>
      <c r="AB475" s="150">
        <f t="shared" si="247"/>
        <v>3090692836</v>
      </c>
      <c r="AD475" s="592">
        <f t="shared" si="248"/>
        <v>27.280145617557572</v>
      </c>
      <c r="AE475" s="593">
        <f t="shared" si="249"/>
        <v>-16.978865250486319</v>
      </c>
      <c r="AG475" s="592">
        <f t="shared" si="250"/>
        <v>-5.8514381886292099</v>
      </c>
      <c r="AH475" s="593">
        <f t="shared" si="251"/>
        <v>-70.209848858101182</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5">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1.0671829993716291</v>
      </c>
      <c r="N476" s="585">
        <f t="shared" si="238"/>
        <v>-0.35672239171604853</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-6.4792920191422096</v>
      </c>
      <c r="X476" s="590">
        <f t="shared" si="244"/>
        <v>-162.24769769286431</v>
      </c>
      <c r="Y476" s="593">
        <f t="shared" si="245"/>
        <v>17.752302307135693</v>
      </c>
      <c r="AA476" s="150">
        <f t="shared" si="246"/>
        <v>55914</v>
      </c>
      <c r="AB476" s="150">
        <f t="shared" si="247"/>
        <v>3126375396</v>
      </c>
      <c r="AD476" s="592">
        <f t="shared" si="248"/>
        <v>27.276487114365793</v>
      </c>
      <c r="AE476" s="593">
        <f t="shared" si="249"/>
        <v>-17.056498943098827</v>
      </c>
      <c r="AG476" s="592">
        <f t="shared" si="250"/>
        <v>-5.8826896342330084</v>
      </c>
      <c r="AH476" s="593">
        <f t="shared" si="251"/>
        <v>-70.12467205006422</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5">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1.0679296508115457</v>
      </c>
      <c r="N477" s="585">
        <f t="shared" si="238"/>
        <v>-0.35859379455330959</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-6.5389293917599423</v>
      </c>
      <c r="X477" s="590">
        <f t="shared" si="244"/>
        <v>-162.61698539740186</v>
      </c>
      <c r="Y477" s="593">
        <f t="shared" si="245"/>
        <v>17.383014602598138</v>
      </c>
      <c r="AA477" s="150">
        <f t="shared" si="246"/>
        <v>56234</v>
      </c>
      <c r="AB477" s="150">
        <f t="shared" si="247"/>
        <v>3162262756</v>
      </c>
      <c r="AD477" s="592">
        <f t="shared" si="248"/>
        <v>27.272811313030608</v>
      </c>
      <c r="AE477" s="593">
        <f t="shared" si="249"/>
        <v>-17.134149957652266</v>
      </c>
      <c r="AG477" s="592">
        <f t="shared" si="250"/>
        <v>-5.9135907322338426</v>
      </c>
      <c r="AH477" s="593">
        <f t="shared" si="251"/>
        <v>-70.039635578121832</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5">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1.0686976689734733</v>
      </c>
      <c r="N478" s="585">
        <f t="shared" si="238"/>
        <v>-0.36050634393287878</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-6.5997048307439696</v>
      </c>
      <c r="X478" s="590">
        <f t="shared" si="244"/>
        <v>-162.99434754478526</v>
      </c>
      <c r="Y478" s="593">
        <f t="shared" si="245"/>
        <v>17.005652455214744</v>
      </c>
      <c r="AA478" s="150">
        <f t="shared" si="246"/>
        <v>56561.5</v>
      </c>
      <c r="AB478" s="150">
        <f t="shared" si="247"/>
        <v>3199203282.25</v>
      </c>
      <c r="AD478" s="592">
        <f t="shared" si="248"/>
        <v>27.269031487151661</v>
      </c>
      <c r="AE478" s="593">
        <f t="shared" si="249"/>
        <v>-17.21363697891578</v>
      </c>
      <c r="AG478" s="592">
        <f t="shared" si="250"/>
        <v>-5.9448571890281698</v>
      </c>
      <c r="AH478" s="593">
        <f t="shared" si="251"/>
        <v>-69.952752069380594</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5">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1.0694695906431024</v>
      </c>
      <c r="N479" s="585">
        <f t="shared" si="238"/>
        <v>-0.36241613941034684</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-6.6602206446919894</v>
      </c>
      <c r="X479" s="590">
        <f t="shared" si="244"/>
        <v>-163.37112119703988</v>
      </c>
      <c r="Y479" s="593">
        <f t="shared" si="245"/>
        <v>16.628878802960116</v>
      </c>
      <c r="AA479" s="150">
        <f t="shared" si="246"/>
        <v>56889</v>
      </c>
      <c r="AB479" s="150">
        <f t="shared" si="247"/>
        <v>3236358321</v>
      </c>
      <c r="AD479" s="592">
        <f t="shared" si="248"/>
        <v>27.265233620594188</v>
      </c>
      <c r="AE479" s="593">
        <f t="shared" si="249"/>
        <v>-17.293138374610855</v>
      </c>
      <c r="AG479" s="592">
        <f t="shared" si="250"/>
        <v>-5.9757644933300504</v>
      </c>
      <c r="AH479" s="593">
        <f t="shared" si="251"/>
        <v>-69.866016925391122</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5">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1.0702454073741396</v>
      </c>
      <c r="N480" s="585">
        <f t="shared" si="238"/>
        <v>-0.36432317302837275</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-6.7204798679472368</v>
      </c>
      <c r="X480" s="590">
        <f t="shared" si="244"/>
        <v>-163.74730535179742</v>
      </c>
      <c r="Y480" s="593">
        <f t="shared" si="245"/>
        <v>16.252694648202578</v>
      </c>
      <c r="AA480" s="150">
        <f t="shared" si="246"/>
        <v>57216.5</v>
      </c>
      <c r="AB480" s="150">
        <f t="shared" si="247"/>
        <v>3273727872.25</v>
      </c>
      <c r="AD480" s="592">
        <f t="shared" si="248"/>
        <v>27.261417753419529</v>
      </c>
      <c r="AE480" s="593">
        <f t="shared" si="249"/>
        <v>-17.372652295516772</v>
      </c>
      <c r="AG480" s="592">
        <f t="shared" si="250"/>
        <v>-6.0063165056045511</v>
      </c>
      <c r="AH480" s="593">
        <f t="shared" si="251"/>
        <v>-69.779430777116872</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5">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1.0710251107022069</v>
      </c>
      <c r="N481" s="585">
        <f t="shared" si="238"/>
        <v>-0.36622743693296733</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-6.7804854791778624</v>
      </c>
      <c r="X481" s="590">
        <f t="shared" si="244"/>
        <v>-164.12289904270955</v>
      </c>
      <c r="Y481" s="593">
        <f t="shared" si="245"/>
        <v>15.877100957290452</v>
      </c>
      <c r="AA481" s="150">
        <f t="shared" si="246"/>
        <v>57544</v>
      </c>
      <c r="AB481" s="150">
        <f t="shared" si="247"/>
        <v>3311311936</v>
      </c>
      <c r="AD481" s="592">
        <f t="shared" si="248"/>
        <v>27.257583926143866</v>
      </c>
      <c r="AE481" s="593">
        <f t="shared" si="249"/>
        <v>-17.452176929455408</v>
      </c>
      <c r="AG481" s="592">
        <f t="shared" si="250"/>
        <v>-6.0365170276347877</v>
      </c>
      <c r="AH481" s="593">
        <f t="shared" si="251"/>
        <v>-69.692994214043964</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5">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1.0718266821141442</v>
      </c>
      <c r="N482" s="585">
        <f t="shared" si="238"/>
        <v>-0.3681724362723463</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-6.8416059226307366</v>
      </c>
      <c r="X482" s="590">
        <f t="shared" si="244"/>
        <v>-164.50648224392975</v>
      </c>
      <c r="Y482" s="593">
        <f t="shared" si="245"/>
        <v>15.493517756070247</v>
      </c>
      <c r="AA482" s="150">
        <f t="shared" si="246"/>
        <v>57879</v>
      </c>
      <c r="AB482" s="150">
        <f t="shared" si="247"/>
        <v>3349978641</v>
      </c>
      <c r="AD482" s="592">
        <f t="shared" si="248"/>
        <v>27.253643762238639</v>
      </c>
      <c r="AE482" s="593">
        <f t="shared" si="249"/>
        <v>-17.533531970643995</v>
      </c>
      <c r="AG482" s="592">
        <f t="shared" si="250"/>
        <v>-6.0670494113754794</v>
      </c>
      <c r="AH482" s="593">
        <f t="shared" si="251"/>
        <v>-69.604733522628138</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5">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1.0726323022013509</v>
      </c>
      <c r="N483" s="585">
        <f t="shared" si="238"/>
        <v>-0.37011452129492656</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-6.9024671372211275</v>
      </c>
      <c r="X483" s="590">
        <f t="shared" si="244"/>
        <v>-164.8894456955498</v>
      </c>
      <c r="Y483" s="593">
        <f t="shared" si="245"/>
        <v>15.110554304450204</v>
      </c>
      <c r="AA483" s="150">
        <f t="shared" si="246"/>
        <v>58214</v>
      </c>
      <c r="AB483" s="150">
        <f t="shared" si="247"/>
        <v>3388869796</v>
      </c>
      <c r="AD483" s="592">
        <f t="shared" si="248"/>
        <v>27.249684893373729</v>
      </c>
      <c r="AE483" s="593">
        <f t="shared" si="249"/>
        <v>-17.614894499909294</v>
      </c>
      <c r="AG483" s="592">
        <f t="shared" si="250"/>
        <v>-6.0972218860858067</v>
      </c>
      <c r="AH483" s="593">
        <f t="shared" si="251"/>
        <v>-69.516630465112897</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5">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1.0734419618482127</v>
      </c>
      <c r="N484" s="585">
        <f t="shared" si="238"/>
        <v>-0.37205368392894245</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-6.9630721386543577</v>
      </c>
      <c r="X484" s="590">
        <f t="shared" si="244"/>
        <v>-165.27178847734649</v>
      </c>
      <c r="Y484" s="593">
        <f t="shared" si="245"/>
        <v>14.72821152265351</v>
      </c>
      <c r="AA484" s="150">
        <f t="shared" si="246"/>
        <v>58549</v>
      </c>
      <c r="AB484" s="150">
        <f t="shared" si="247"/>
        <v>3427985401</v>
      </c>
      <c r="AD484" s="592">
        <f t="shared" si="248"/>
        <v>27.245707364309744</v>
      </c>
      <c r="AE484" s="593">
        <f t="shared" si="249"/>
        <v>-17.69626269165655</v>
      </c>
      <c r="AG484" s="592">
        <f t="shared" si="250"/>
        <v>-6.1270383383299709</v>
      </c>
      <c r="AH484" s="593">
        <f t="shared" si="251"/>
        <v>-69.42868554399152</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5">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1.0742556519209594</v>
      </c>
      <c r="N485" s="585">
        <f t="shared" si="238"/>
        <v>-0.37398991621481498</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-7.0234238872797015</v>
      </c>
      <c r="X485" s="590">
        <f t="shared" si="244"/>
        <v>-165.6535097065763</v>
      </c>
      <c r="Y485" s="593">
        <f t="shared" si="245"/>
        <v>14.346490293423699</v>
      </c>
      <c r="AA485" s="150">
        <f t="shared" si="246"/>
        <v>58884</v>
      </c>
      <c r="AB485" s="150">
        <f t="shared" si="247"/>
        <v>3467325456</v>
      </c>
      <c r="AD485" s="592">
        <f t="shared" si="248"/>
        <v>27.241711220252377</v>
      </c>
      <c r="AE485" s="593">
        <f t="shared" si="249"/>
        <v>-17.777634756679781</v>
      </c>
      <c r="AG485" s="592">
        <f t="shared" si="250"/>
        <v>-6.1565025957962414</v>
      </c>
      <c r="AH485" s="593">
        <f t="shared" si="251"/>
        <v>-69.340899220492872</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5">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1.0750929397894895</v>
      </c>
      <c r="N486" s="585">
        <f t="shared" si="238"/>
        <v>-0.37596934253720138</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-7.0849575098143447</v>
      </c>
      <c r="X486" s="590">
        <f t="shared" si="244"/>
        <v>-166.04370178926317</v>
      </c>
      <c r="Y486" s="593">
        <f t="shared" si="245"/>
        <v>13.956298210736833</v>
      </c>
      <c r="AA486" s="150">
        <f t="shared" si="246"/>
        <v>59227</v>
      </c>
      <c r="AB486" s="150">
        <f t="shared" si="247"/>
        <v>3507837529</v>
      </c>
      <c r="AD486" s="592">
        <f t="shared" si="248"/>
        <v>27.237600406447502</v>
      </c>
      <c r="AE486" s="593">
        <f t="shared" si="249"/>
        <v>-17.86095221696727</v>
      </c>
      <c r="AG486" s="592">
        <f t="shared" si="250"/>
        <v>-6.186309503124459</v>
      </c>
      <c r="AH486" s="593">
        <f t="shared" si="251"/>
        <v>-69.25118127050132</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5">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1.0759344334446872</v>
      </c>
      <c r="N487" s="585">
        <f t="shared" si="238"/>
        <v>-0.37794568035478293</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-7.1462317482544533</v>
      </c>
      <c r="X487" s="590">
        <f t="shared" si="244"/>
        <v>-166.433240524257</v>
      </c>
      <c r="Y487" s="593">
        <f t="shared" si="245"/>
        <v>13.566759475742998</v>
      </c>
      <c r="AA487" s="150">
        <f t="shared" si="246"/>
        <v>59570</v>
      </c>
      <c r="AB487" s="150">
        <f t="shared" si="247"/>
        <v>3548584900</v>
      </c>
      <c r="AD487" s="592">
        <f t="shared" si="248"/>
        <v>27.233470175248996</v>
      </c>
      <c r="AE487" s="593">
        <f t="shared" si="249"/>
        <v>-17.944270054330424</v>
      </c>
      <c r="AG487" s="592">
        <f t="shared" si="250"/>
        <v>-6.2157551310723234</v>
      </c>
      <c r="AH487" s="593">
        <f t="shared" si="251"/>
        <v>-69.161630433628218</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5">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1.0767801230262033</v>
      </c>
      <c r="N488" s="585">
        <f t="shared" si="238"/>
        <v>-0.37991892148781781</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-7.2072496082561512</v>
      </c>
      <c r="X488" s="590">
        <f t="shared" si="244"/>
        <v>-166.82212508307802</v>
      </c>
      <c r="Y488" s="593">
        <f t="shared" si="245"/>
        <v>13.177874916921979</v>
      </c>
      <c r="AA488" s="150">
        <f t="shared" si="246"/>
        <v>59913</v>
      </c>
      <c r="AB488" s="150">
        <f t="shared" si="247"/>
        <v>3589567569</v>
      </c>
      <c r="AD488" s="592">
        <f t="shared" si="248"/>
        <v>27.229320576550315</v>
      </c>
      <c r="AE488" s="593">
        <f t="shared" si="249"/>
        <v>-18.027586460657712</v>
      </c>
      <c r="AG488" s="592">
        <f t="shared" si="250"/>
        <v>-6.2448434044535297</v>
      </c>
      <c r="AH488" s="593">
        <f t="shared" si="251"/>
        <v>-69.0722470768075</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5">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1.0776299986555511</v>
      </c>
      <c r="N489" s="585">
        <f t="shared" si="238"/>
        <v>-0.38188905787863675</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-7.2680140402469036</v>
      </c>
      <c r="X489" s="590">
        <f t="shared" si="244"/>
        <v>-167.21035467636679</v>
      </c>
      <c r="Y489" s="593">
        <f t="shared" si="245"/>
        <v>12.789645323633209</v>
      </c>
      <c r="AA489" s="150">
        <f t="shared" si="246"/>
        <v>60256</v>
      </c>
      <c r="AB489" s="150">
        <f t="shared" si="247"/>
        <v>3630785536</v>
      </c>
      <c r="AD489" s="592">
        <f t="shared" si="248"/>
        <v>27.225151660681959</v>
      </c>
      <c r="AE489" s="593">
        <f t="shared" si="249"/>
        <v>-18.110899663747073</v>
      </c>
      <c r="AG489" s="592">
        <f t="shared" si="250"/>
        <v>-6.2735781887575044</v>
      </c>
      <c r="AH489" s="593">
        <f t="shared" si="251"/>
        <v>-68.983031525805856</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5">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1.0785040197692444</v>
      </c>
      <c r="N490" s="585">
        <f t="shared" si="238"/>
        <v>-0.38390192248617577</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-7.3299363768696075</v>
      </c>
      <c r="X490" s="590">
        <f t="shared" si="244"/>
        <v>-167.60696034633261</v>
      </c>
      <c r="Y490" s="593">
        <f t="shared" si="245"/>
        <v>12.393039653667387</v>
      </c>
      <c r="AA490" s="150">
        <f t="shared" si="246"/>
        <v>60607</v>
      </c>
      <c r="AB490" s="150">
        <f t="shared" si="247"/>
        <v>3673208449</v>
      </c>
      <c r="AD490" s="592">
        <f t="shared" si="248"/>
        <v>27.220865565337071</v>
      </c>
      <c r="AE490" s="593">
        <f t="shared" si="249"/>
        <v>-18.196150903482867</v>
      </c>
      <c r="AG490" s="592">
        <f t="shared" si="250"/>
        <v>-6.3026211918916966</v>
      </c>
      <c r="AH490" s="593">
        <f t="shared" si="251"/>
        <v>-68.891909165563618</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5">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1.0793824034886672</v>
      </c>
      <c r="N491" s="585">
        <f t="shared" si="238"/>
        <v>-0.3859115191523369</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-7.3915994058101644</v>
      </c>
      <c r="X491" s="590">
        <f t="shared" si="244"/>
        <v>-168.00287859293172</v>
      </c>
      <c r="Y491" s="593">
        <f t="shared" si="245"/>
        <v>11.997121407068278</v>
      </c>
      <c r="AA491" s="150">
        <f t="shared" si="246"/>
        <v>60958</v>
      </c>
      <c r="AB491" s="150">
        <f t="shared" si="247"/>
        <v>3715877764</v>
      </c>
      <c r="AD491" s="592">
        <f t="shared" si="248"/>
        <v>27.216559349212183</v>
      </c>
      <c r="AE491" s="593">
        <f t="shared" si="249"/>
        <v>-18.281395144981399</v>
      </c>
      <c r="AG491" s="592">
        <f t="shared" si="250"/>
        <v>-6.3313020297513969</v>
      </c>
      <c r="AH491" s="593">
        <f t="shared" si="251"/>
        <v>-68.800963092551129</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5">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1.0802651391718709</v>
      </c>
      <c r="N492" s="585">
        <f t="shared" si="238"/>
        <v>-0.38791783963721205</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-7.4530061176677904</v>
      </c>
      <c r="X492" s="590">
        <f t="shared" si="244"/>
        <v>-168.398108694218</v>
      </c>
      <c r="Y492" s="593">
        <f t="shared" si="245"/>
        <v>11.601891305782004</v>
      </c>
      <c r="AA492" s="150">
        <f t="shared" si="246"/>
        <v>61309</v>
      </c>
      <c r="AB492" s="150">
        <f t="shared" si="247"/>
        <v>3758793481</v>
      </c>
      <c r="AD492" s="592">
        <f t="shared" si="248"/>
        <v>27.212233067585746</v>
      </c>
      <c r="AE492" s="593">
        <f t="shared" si="249"/>
        <v>-18.366630599834615</v>
      </c>
      <c r="AG492" s="592">
        <f t="shared" si="250"/>
        <v>-6.3596246598693176</v>
      </c>
      <c r="AH492" s="593">
        <f t="shared" si="251"/>
        <v>-68.710193528362893</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5">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1.0811522161590239</v>
      </c>
      <c r="N493" s="585">
        <f t="shared" si="238"/>
        <v>-0.3899208758332382</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-7.5141594480830998</v>
      </c>
      <c r="X493" s="590">
        <f t="shared" si="244"/>
        <v>-168.7926499689498</v>
      </c>
      <c r="Y493" s="593">
        <f t="shared" si="245"/>
        <v>11.207350031050197</v>
      </c>
      <c r="AA493" s="150">
        <f t="shared" si="246"/>
        <v>61660</v>
      </c>
      <c r="AB493" s="150">
        <f t="shared" si="247"/>
        <v>3801955600</v>
      </c>
      <c r="AD493" s="592">
        <f t="shared" si="248"/>
        <v>27.207886776164131</v>
      </c>
      <c r="AE493" s="593">
        <f t="shared" si="249"/>
        <v>-18.451855515020902</v>
      </c>
      <c r="AG493" s="592">
        <f t="shared" si="250"/>
        <v>-6.3875929801044489</v>
      </c>
      <c r="AH493" s="593">
        <f t="shared" si="251"/>
        <v>-68.619600653670844</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5">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1.0820639911482504</v>
      </c>
      <c r="N494" s="585">
        <f t="shared" si="238"/>
        <v>-0.3919661595383464</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-7.5764474803465127</v>
      </c>
      <c r="X494" s="590">
        <f t="shared" si="244"/>
        <v>-169.19547041435396</v>
      </c>
      <c r="Y494" s="593">
        <f t="shared" si="245"/>
        <v>10.804529585646037</v>
      </c>
      <c r="AA494" s="150">
        <f t="shared" si="246"/>
        <v>62019</v>
      </c>
      <c r="AB494" s="150">
        <f t="shared" si="247"/>
        <v>3846356361</v>
      </c>
      <c r="AD494" s="592">
        <f t="shared" si="248"/>
        <v>27.203420783380395</v>
      </c>
      <c r="AE494" s="593">
        <f t="shared" si="249"/>
        <v>-18.539010184613829</v>
      </c>
      <c r="AG494" s="592">
        <f t="shared" si="250"/>
        <v>-6.4158362414083552</v>
      </c>
      <c r="AH494" s="593">
        <f t="shared" si="251"/>
        <v>-68.52712590664062</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5">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1.0829802849789751</v>
      </c>
      <c r="N495" s="585">
        <f t="shared" si="238"/>
        <v>-0.39400799080334897</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-7.6384764909909784</v>
      </c>
      <c r="X495" s="590">
        <f t="shared" si="244"/>
        <v>-169.59756896237892</v>
      </c>
      <c r="Y495" s="593">
        <f t="shared" si="245"/>
        <v>10.402431037621085</v>
      </c>
      <c r="AA495" s="150">
        <f t="shared" si="246"/>
        <v>62378</v>
      </c>
      <c r="AB495" s="150">
        <f t="shared" si="247"/>
        <v>3891014884</v>
      </c>
      <c r="AD495" s="592">
        <f t="shared" si="248"/>
        <v>27.198933977476042</v>
      </c>
      <c r="AE495" s="593">
        <f t="shared" si="249"/>
        <v>-18.626150228509573</v>
      </c>
      <c r="AG495" s="592">
        <f t="shared" si="250"/>
        <v>-6.4437169202784048</v>
      </c>
      <c r="AH495" s="593">
        <f t="shared" si="251"/>
        <v>-68.434836250652708</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5">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1.083901086190965</v>
      </c>
      <c r="N496" s="585">
        <f t="shared" si="238"/>
        <v>-0.39604636138052457</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-7.7002494510493955</v>
      </c>
      <c r="X496" s="590">
        <f t="shared" si="244"/>
        <v>-169.99894501279516</v>
      </c>
      <c r="Y496" s="593">
        <f t="shared" si="245"/>
        <v>10.001054987204839</v>
      </c>
      <c r="AA496" s="150">
        <f t="shared" si="246"/>
        <v>62737</v>
      </c>
      <c r="AB496" s="150">
        <f t="shared" si="247"/>
        <v>3935931169</v>
      </c>
      <c r="AD496" s="592">
        <f t="shared" si="248"/>
        <v>27.194426419366099</v>
      </c>
      <c r="AE496" s="593">
        <f t="shared" si="249"/>
        <v>-18.713273880016004</v>
      </c>
      <c r="AG496" s="592">
        <f t="shared" si="250"/>
        <v>-6.4712390016304511</v>
      </c>
      <c r="AH496" s="593">
        <f t="shared" si="251"/>
        <v>-68.342731752601608</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5">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1.084826383306617</v>
      </c>
      <c r="N497" s="585">
        <f t="shared" si="238"/>
        <v>-0.39808126316511733</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-7.7617692769995141</v>
      </c>
      <c r="X497" s="590">
        <f t="shared" si="244"/>
        <v>-170.39959800759152</v>
      </c>
      <c r="Y497" s="593">
        <f t="shared" si="245"/>
        <v>9.6004019924084787</v>
      </c>
      <c r="AA497" s="150">
        <f t="shared" si="246"/>
        <v>63096</v>
      </c>
      <c r="AB497" s="150">
        <f t="shared" si="247"/>
        <v>3981105216</v>
      </c>
      <c r="AD497" s="592">
        <f t="shared" si="248"/>
        <v>27.189898170383159</v>
      </c>
      <c r="AE497" s="593">
        <f t="shared" si="249"/>
        <v>-18.800379407270501</v>
      </c>
      <c r="AG497" s="592">
        <f t="shared" si="250"/>
        <v>-6.4984064104480099</v>
      </c>
      <c r="AH497" s="593">
        <f t="shared" si="251"/>
        <v>-68.250812438855647</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5">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1.085777584297033</v>
      </c>
      <c r="N498" s="585">
        <f t="shared" si="238"/>
        <v>-0.40015933043147717</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-7.8244439177955618</v>
      </c>
      <c r="X498" s="590">
        <f t="shared" si="244"/>
        <v>-170.80870950013616</v>
      </c>
      <c r="Y498" s="593">
        <f t="shared" si="245"/>
        <v>9.1912904998638396</v>
      </c>
      <c r="AA498" s="150">
        <f t="shared" si="246"/>
        <v>63463.25</v>
      </c>
      <c r="AB498" s="150">
        <f t="shared" si="247"/>
        <v>4027584100.5625</v>
      </c>
      <c r="AD498" s="592">
        <f t="shared" si="248"/>
        <v>27.185244514776208</v>
      </c>
      <c r="AE498" s="593">
        <f t="shared" si="249"/>
        <v>-18.889466139247858</v>
      </c>
      <c r="AG498" s="592">
        <f t="shared" si="250"/>
        <v>-6.5258351788364575</v>
      </c>
      <c r="AH498" s="593">
        <f t="shared" si="251"/>
        <v>-68.156972375893517</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5">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1.0867334658499703</v>
      </c>
      <c r="N499" s="585">
        <f t="shared" si="238"/>
        <v>-0.40223375094210367</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-7.8868596615870903</v>
      </c>
      <c r="X499" s="590">
        <f t="shared" si="244"/>
        <v>-171.21706327435521</v>
      </c>
      <c r="Y499" s="593">
        <f t="shared" si="245"/>
        <v>8.7829367256447881</v>
      </c>
      <c r="AA499" s="150">
        <f t="shared" si="246"/>
        <v>63830.5</v>
      </c>
      <c r="AB499" s="150">
        <f t="shared" si="247"/>
        <v>4074332730.25</v>
      </c>
      <c r="AD499" s="592">
        <f t="shared" si="248"/>
        <v>27.180569337525927</v>
      </c>
      <c r="AE499" s="593">
        <f t="shared" si="249"/>
        <v>-18.978530345730132</v>
      </c>
      <c r="AG499" s="592">
        <f t="shared" si="250"/>
        <v>-6.5529009089565875</v>
      </c>
      <c r="AH499" s="593">
        <f t="shared" si="251"/>
        <v>-68.063326036576669</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5">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1.0876940156253869</v>
      </c>
      <c r="N500" s="585">
        <f t="shared" si="238"/>
        <v>-0.40430451648167659</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-7.9490194617998036</v>
      </c>
      <c r="X500" s="590">
        <f t="shared" si="244"/>
        <v>-171.62465886632947</v>
      </c>
      <c r="Y500" s="593">
        <f t="shared" si="245"/>
        <v>8.3753411336705312</v>
      </c>
      <c r="AA500" s="150">
        <f t="shared" si="246"/>
        <v>64197.75</v>
      </c>
      <c r="AB500" s="150">
        <f t="shared" si="247"/>
        <v>4121351105.0625</v>
      </c>
      <c r="AD500" s="592">
        <f t="shared" si="248"/>
        <v>27.175872705571258</v>
      </c>
      <c r="AE500" s="593">
        <f t="shared" si="249"/>
        <v>-19.067570280045512</v>
      </c>
      <c r="AG500" s="592">
        <f t="shared" si="250"/>
        <v>-6.5796076160912076</v>
      </c>
      <c r="AH500" s="593">
        <f t="shared" si="251"/>
        <v>-67.969873323982469</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5">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1.0886592212666337</v>
      </c>
      <c r="N501" s="585">
        <f t="shared" si="238"/>
        <v>-0.40637161898918095</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-8.0109262176858245</v>
      </c>
      <c r="X501" s="590">
        <f t="shared" si="244"/>
        <v>-172.03149585590506</v>
      </c>
      <c r="Y501" s="593">
        <f t="shared" si="245"/>
        <v>7.9685041440949362</v>
      </c>
      <c r="AA501" s="150">
        <f t="shared" si="246"/>
        <v>64565</v>
      </c>
      <c r="AB501" s="150">
        <f t="shared" si="247"/>
        <v>4168639225</v>
      </c>
      <c r="AD501" s="592">
        <f t="shared" si="248"/>
        <v>27.171154686258081</v>
      </c>
      <c r="AE501" s="593">
        <f t="shared" si="249"/>
        <v>-19.156584229862251</v>
      </c>
      <c r="AG501" s="592">
        <f t="shared" si="250"/>
        <v>-6.6059592552525972</v>
      </c>
      <c r="AH501" s="593">
        <f t="shared" si="251"/>
        <v>-67.876614101106355</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5">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1.0896522342997981</v>
      </c>
      <c r="N502" s="585">
        <f t="shared" si="238"/>
        <v>-0.4084841684869685</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-8.0740487597547776</v>
      </c>
      <c r="X502" s="590">
        <f t="shared" si="244"/>
        <v>-172.44723971196638</v>
      </c>
      <c r="Y502" s="593">
        <f t="shared" si="245"/>
        <v>7.5527602880336246</v>
      </c>
      <c r="AA502" s="150">
        <f t="shared" si="246"/>
        <v>64941</v>
      </c>
      <c r="AB502" s="150">
        <f t="shared" si="247"/>
        <v>4217333481</v>
      </c>
      <c r="AD502" s="592">
        <f t="shared" si="248"/>
        <v>27.166302169639998</v>
      </c>
      <c r="AE502" s="593">
        <f t="shared" si="249"/>
        <v>-19.247690328688346</v>
      </c>
      <c r="AG502" s="592">
        <f t="shared" si="250"/>
        <v>-6.6325749511593344</v>
      </c>
      <c r="AH502" s="593">
        <f t="shared" si="251"/>
        <v>-67.781333184591375</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5">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1.0906501014362917</v>
      </c>
      <c r="N503" s="585">
        <f t="shared" si="238"/>
        <v>-0.41059286171670401</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-8.1369120380550228</v>
      </c>
      <c r="X503" s="590">
        <f t="shared" si="244"/>
        <v>-172.86218763312004</v>
      </c>
      <c r="Y503" s="593">
        <f t="shared" si="245"/>
        <v>7.137812366879956</v>
      </c>
      <c r="AA503" s="150">
        <f t="shared" si="246"/>
        <v>65317</v>
      </c>
      <c r="AB503" s="150">
        <f t="shared" si="247"/>
        <v>4266310489</v>
      </c>
      <c r="AD503" s="592">
        <f t="shared" si="248"/>
        <v>27.161427378508343</v>
      </c>
      <c r="AE503" s="593">
        <f t="shared" si="249"/>
        <v>-19.338765664016154</v>
      </c>
      <c r="AG503" s="592">
        <f t="shared" si="250"/>
        <v>-6.6588266600803294</v>
      </c>
      <c r="AH503" s="593">
        <f t="shared" si="251"/>
        <v>-67.686254672702304</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5">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1.0916528093648761</v>
      </c>
      <c r="N504" s="585">
        <f t="shared" si="238"/>
        <v>-0.41269769052609012</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-8.199518996002471</v>
      </c>
      <c r="X504" s="590">
        <f t="shared" si="244"/>
        <v>-173.27633930710024</v>
      </c>
      <c r="Y504" s="593">
        <f t="shared" si="245"/>
        <v>6.723660692899756</v>
      </c>
      <c r="AA504" s="150">
        <f t="shared" si="246"/>
        <v>65693</v>
      </c>
      <c r="AB504" s="150">
        <f t="shared" si="247"/>
        <v>4315570249</v>
      </c>
      <c r="AD504" s="592">
        <f t="shared" si="248"/>
        <v>27.156530386387775</v>
      </c>
      <c r="AE504" s="593">
        <f t="shared" si="249"/>
        <v>-19.429808504385107</v>
      </c>
      <c r="AG504" s="592">
        <f t="shared" si="250"/>
        <v>-6.6847184383018456</v>
      </c>
      <c r="AH504" s="593">
        <f t="shared" si="251"/>
        <v>-67.591378294422327</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5">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1.0926603447587186</v>
      </c>
      <c r="N505" s="585">
        <f t="shared" si="238"/>
        <v>-0.41479864692964541</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-8.2618725230646035</v>
      </c>
      <c r="X505" s="590">
        <f t="shared" si="244"/>
        <v>-173.68969446709187</v>
      </c>
      <c r="Y505" s="593">
        <f t="shared" si="245"/>
        <v>6.3103055329081315</v>
      </c>
      <c r="AA505" s="150">
        <f t="shared" si="246"/>
        <v>66069</v>
      </c>
      <c r="AB505" s="150">
        <f t="shared" si="247"/>
        <v>4365112761</v>
      </c>
      <c r="AD505" s="592">
        <f t="shared" si="248"/>
        <v>27.151611267199737</v>
      </c>
      <c r="AE505" s="593">
        <f t="shared" si="249"/>
        <v>-19.520817152337923</v>
      </c>
      <c r="AG505" s="592">
        <f t="shared" si="250"/>
        <v>-6.7102542812663835</v>
      </c>
      <c r="AH505" s="593">
        <f t="shared" si="251"/>
        <v>-67.496703739062511</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5">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1.0936963101534098</v>
      </c>
      <c r="N506" s="585">
        <f t="shared" si="238"/>
        <v>-0.41694447848641975</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-8.325417709392104</v>
      </c>
      <c r="X506" s="590">
        <f t="shared" si="244"/>
        <v>-174.11184416449734</v>
      </c>
      <c r="Y506" s="593">
        <f t="shared" si="245"/>
        <v>5.8881558355026584</v>
      </c>
      <c r="AA506" s="150">
        <f t="shared" si="246"/>
        <v>66453.75</v>
      </c>
      <c r="AB506" s="150">
        <f t="shared" si="247"/>
        <v>4416100889.0625</v>
      </c>
      <c r="AD506" s="592">
        <f t="shared" si="248"/>
        <v>27.146554845901086</v>
      </c>
      <c r="AE506" s="593">
        <f t="shared" si="249"/>
        <v>-19.613906556449702</v>
      </c>
      <c r="AG506" s="592">
        <f t="shared" si="250"/>
        <v>-6.7360200252276066</v>
      </c>
      <c r="AH506" s="593">
        <f t="shared" si="251"/>
        <v>-67.400034543876373</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5">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1.0947373020297133</v>
      </c>
      <c r="N507" s="585">
        <f t="shared" si="238"/>
        <v>-0.41908623892287417</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-8.3887034863202352</v>
      </c>
      <c r="X507" s="590">
        <f t="shared" si="244"/>
        <v>-174.53315942247224</v>
      </c>
      <c r="Y507" s="593">
        <f t="shared" si="245"/>
        <v>5.466840577527762</v>
      </c>
      <c r="AA507" s="150">
        <f t="shared" si="246"/>
        <v>66838.5</v>
      </c>
      <c r="AB507" s="150">
        <f t="shared" si="247"/>
        <v>4467385082.25</v>
      </c>
      <c r="AD507" s="592">
        <f t="shared" si="248"/>
        <v>27.141475413528507</v>
      </c>
      <c r="AE507" s="593">
        <f t="shared" si="249"/>
        <v>-19.706956667441393</v>
      </c>
      <c r="AG507" s="592">
        <f t="shared" si="250"/>
        <v>-6.7614213498414575</v>
      </c>
      <c r="AH507" s="593">
        <f t="shared" si="251"/>
        <v>-67.303575893286478</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5">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1.0957833060621878</v>
      </c>
      <c r="N508" s="585">
        <f t="shared" si="238"/>
        <v>-0.42122392022063493</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-8.4517327827842426</v>
      </c>
      <c r="X508" s="590">
        <f t="shared" si="244"/>
        <v>-174.95364009872208</v>
      </c>
      <c r="Y508" s="593">
        <f t="shared" si="245"/>
        <v>5.0463599012779241</v>
      </c>
      <c r="AA508" s="150">
        <f t="shared" si="246"/>
        <v>67223.25</v>
      </c>
      <c r="AB508" s="150">
        <f t="shared" si="247"/>
        <v>4518965340.5625</v>
      </c>
      <c r="AD508" s="592">
        <f t="shared" si="248"/>
        <v>27.136373050498964</v>
      </c>
      <c r="AE508" s="593">
        <f t="shared" si="249"/>
        <v>-19.799965771586411</v>
      </c>
      <c r="AG508" s="592">
        <f t="shared" si="250"/>
        <v>-6.7864623463409384</v>
      </c>
      <c r="AH508" s="593">
        <f t="shared" si="251"/>
        <v>-67.207327332100888</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5">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1.0968343079111953</v>
      </c>
      <c r="N509" s="585">
        <f t="shared" si="238"/>
        <v>-0.42335751454096399</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-8.5145084741367398</v>
      </c>
      <c r="X509" s="590">
        <f t="shared" si="244"/>
        <v>-175.37328609796936</v>
      </c>
      <c r="Y509" s="593">
        <f t="shared" si="245"/>
        <v>4.6267139020306445</v>
      </c>
      <c r="AA509" s="150">
        <f t="shared" si="246"/>
        <v>67608</v>
      </c>
      <c r="AB509" s="150">
        <f t="shared" si="247"/>
        <v>4570841664</v>
      </c>
      <c r="AD509" s="592">
        <f t="shared" si="248"/>
        <v>27.131247837613945</v>
      </c>
      <c r="AE509" s="593">
        <f t="shared" si="249"/>
        <v>-19.892932188790407</v>
      </c>
      <c r="AG509" s="592">
        <f t="shared" si="250"/>
        <v>-6.8111470446364599</v>
      </c>
      <c r="AH509" s="593">
        <f t="shared" si="251"/>
        <v>-67.111288366066105</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5">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1.0979150541680291</v>
      </c>
      <c r="N510" s="585">
        <f t="shared" si="238"/>
        <v>-0.42553677801049222</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-8.578492975177257</v>
      </c>
      <c r="X510" s="590">
        <f t="shared" si="244"/>
        <v>-175.80188413483148</v>
      </c>
      <c r="Y510" s="593">
        <f t="shared" si="245"/>
        <v>4.1981158651685178</v>
      </c>
      <c r="AA510" s="150">
        <f t="shared" si="246"/>
        <v>68001.75</v>
      </c>
      <c r="AB510" s="150">
        <f t="shared" si="247"/>
        <v>4624238003.0625</v>
      </c>
      <c r="AD510" s="592">
        <f t="shared" si="248"/>
        <v>27.125979163554032</v>
      </c>
      <c r="AE510" s="593">
        <f t="shared" si="249"/>
        <v>-19.988027343958834</v>
      </c>
      <c r="AG510" s="592">
        <f t="shared" si="250"/>
        <v>-6.8360444073240405</v>
      </c>
      <c r="AH510" s="593">
        <f t="shared" si="251"/>
        <v>-67.013219325612368</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5">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1.0990010043616345</v>
      </c>
      <c r="N511" s="585">
        <f t="shared" si="238"/>
        <v>-0.42771174502364045</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-8.6422177948244698</v>
      </c>
      <c r="X511" s="590">
        <f t="shared" si="244"/>
        <v>-176.2296079347046</v>
      </c>
      <c r="Y511" s="593">
        <f t="shared" si="245"/>
        <v>3.7703920652953968</v>
      </c>
      <c r="AA511" s="150">
        <f t="shared" si="246"/>
        <v>68395.5</v>
      </c>
      <c r="AB511" s="150">
        <f t="shared" si="247"/>
        <v>4677944420.25</v>
      </c>
      <c r="AD511" s="592">
        <f t="shared" si="248"/>
        <v>27.120686730550403</v>
      </c>
      <c r="AE511" s="593">
        <f t="shared" si="249"/>
        <v>-20.08307433565308</v>
      </c>
      <c r="AG511" s="592">
        <f t="shared" si="250"/>
        <v>-6.8605769566773436</v>
      </c>
      <c r="AH511" s="593">
        <f t="shared" si="251"/>
        <v>-66.915368632426492</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5">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1.100092143080895</v>
      </c>
      <c r="N512" s="585">
        <f t="shared" si="238"/>
        <v>-0.42988240775732972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-8.7056858490809823</v>
      </c>
      <c r="X512" s="590">
        <f t="shared" si="244"/>
        <v>-176.65645754392727</v>
      </c>
      <c r="Y512" s="593">
        <f t="shared" si="245"/>
        <v>3.3435424560727256</v>
      </c>
      <c r="AA512" s="150">
        <f t="shared" si="246"/>
        <v>68789.25</v>
      </c>
      <c r="AB512" s="150">
        <f t="shared" si="247"/>
        <v>4731960915.5625</v>
      </c>
      <c r="AD512" s="592">
        <f t="shared" si="248"/>
        <v>27.115370626382486</v>
      </c>
      <c r="AE512" s="593">
        <f t="shared" si="249"/>
        <v>-20.178071467069476</v>
      </c>
      <c r="AG512" s="592">
        <f t="shared" si="250"/>
        <v>-6.8847488207597873</v>
      </c>
      <c r="AH512" s="593">
        <f t="shared" si="251"/>
        <v>-66.8177356364871</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5">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1.1011884549022892</v>
      </c>
      <c r="N513" s="585">
        <f t="shared" si="238"/>
        <v>-0.43204875858165903</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-8.7689000007296976</v>
      </c>
      <c r="X513" s="590">
        <f t="shared" si="244"/>
        <v>-177.08243305740768</v>
      </c>
      <c r="Y513" s="593">
        <f t="shared" si="245"/>
        <v>2.9175669425923161</v>
      </c>
      <c r="AA513" s="150">
        <f t="shared" si="246"/>
        <v>69183</v>
      </c>
      <c r="AB513" s="150">
        <f t="shared" si="247"/>
        <v>4786287489</v>
      </c>
      <c r="AD513" s="592">
        <f t="shared" si="248"/>
        <v>27.110030939200648</v>
      </c>
      <c r="AE513" s="593">
        <f t="shared" si="249"/>
        <v>-20.273017074723459</v>
      </c>
      <c r="AG513" s="592">
        <f t="shared" si="250"/>
        <v>-6.9085640657649963</v>
      </c>
      <c r="AH513" s="593">
        <f t="shared" si="251"/>
        <v>-66.720319649430962</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5">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1.1023158620619251</v>
      </c>
      <c r="N514" s="585">
        <f t="shared" si="238"/>
        <v>-0.43426152865343226</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-8.8333391967031627</v>
      </c>
      <c r="X514" s="590">
        <f t="shared" si="244"/>
        <v>-177.51751062554683</v>
      </c>
      <c r="Y514" s="593">
        <f t="shared" si="245"/>
        <v>2.4824893744531664</v>
      </c>
      <c r="AA514" s="150">
        <f t="shared" si="246"/>
        <v>69586</v>
      </c>
      <c r="AB514" s="150">
        <f t="shared" si="247"/>
        <v>4842211396</v>
      </c>
      <c r="AD514" s="592">
        <f t="shared" si="248"/>
        <v>27.104541483579077</v>
      </c>
      <c r="AE514" s="593">
        <f t="shared" si="249"/>
        <v>-20.370138095093484</v>
      </c>
      <c r="AG514" s="592">
        <f t="shared" si="250"/>
        <v>-6.9325736759233187</v>
      </c>
      <c r="AH514" s="593">
        <f t="shared" si="251"/>
        <v>-66.620839118054079</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5">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1.1034486555029379</v>
      </c>
      <c r="N515" s="585">
        <f t="shared" si="238"/>
        <v>-0.4364697662874179</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-8.8975183235625046</v>
      </c>
      <c r="X515" s="590">
        <f t="shared" si="244"/>
        <v>-177.95167290077549</v>
      </c>
      <c r="Y515" s="593">
        <f t="shared" si="245"/>
        <v>2.0483270992245082</v>
      </c>
      <c r="AA515" s="150">
        <f t="shared" si="246"/>
        <v>69989</v>
      </c>
      <c r="AB515" s="150">
        <f t="shared" si="247"/>
        <v>4898460121</v>
      </c>
      <c r="AD515" s="592">
        <f t="shared" si="248"/>
        <v>27.099027511890622</v>
      </c>
      <c r="AE515" s="593">
        <f t="shared" si="249"/>
        <v>-20.467201719774113</v>
      </c>
      <c r="AG515" s="592">
        <f t="shared" si="250"/>
        <v>-6.9562181407155688</v>
      </c>
      <c r="AH515" s="593">
        <f t="shared" si="251"/>
        <v>-66.521584333749573</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5">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1.104586818653853</v>
      </c>
      <c r="N516" s="585">
        <f t="shared" si="238"/>
        <v>-0.43867346392522305</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-8.9614402858455584</v>
      </c>
      <c r="X516" s="590">
        <f t="shared" si="244"/>
        <v>-178.38492013810625</v>
      </c>
      <c r="Y516" s="593">
        <f t="shared" si="245"/>
        <v>1.6150798618937472</v>
      </c>
      <c r="AA516" s="150">
        <f t="shared" si="246"/>
        <v>70392</v>
      </c>
      <c r="AB516" s="150">
        <f t="shared" si="247"/>
        <v>4955033664</v>
      </c>
      <c r="AD516" s="592">
        <f t="shared" si="248"/>
        <v>27.093489119774596</v>
      </c>
      <c r="AE516" s="593">
        <f t="shared" si="249"/>
        <v>-20.564206268368931</v>
      </c>
      <c r="AG516" s="592">
        <f t="shared" si="250"/>
        <v>-6.9795016265475915</v>
      </c>
      <c r="AH516" s="593">
        <f t="shared" si="251"/>
        <v>-66.422554440641861</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5">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1.1057303349330347</v>
      </c>
      <c r="N517" s="585">
        <f t="shared" si="238"/>
        <v>-0.4408726142158807</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-9.025107935235317</v>
      </c>
      <c r="X517" s="590">
        <f t="shared" si="244"/>
        <v>-178.81725264263963</v>
      </c>
      <c r="Y517" s="593">
        <f t="shared" si="245"/>
        <v>1.1827473573603697</v>
      </c>
      <c r="AA517" s="150">
        <f t="shared" si="246"/>
        <v>70795</v>
      </c>
      <c r="AB517" s="150">
        <f t="shared" si="247"/>
        <v>5011932025</v>
      </c>
      <c r="AD517" s="592">
        <f t="shared" si="248"/>
        <v>27.087926403225886</v>
      </c>
      <c r="AE517" s="593">
        <f t="shared" si="249"/>
        <v>-20.661150093543153</v>
      </c>
      <c r="AG517" s="592">
        <f t="shared" si="250"/>
        <v>-7.0024282373434961</v>
      </c>
      <c r="AH517" s="593">
        <f t="shared" si="251"/>
        <v>-66.323748545364737</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5">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1.1069056197187661</v>
      </c>
      <c r="N518" s="585">
        <f t="shared" si="238"/>
        <v>-0.44311752872638754</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-9.0899767223060604</v>
      </c>
      <c r="X518" s="590">
        <f t="shared" si="244"/>
        <v>-179.25856231430444</v>
      </c>
      <c r="Y518" s="593">
        <f t="shared" si="245"/>
        <v>0.74143768569555846</v>
      </c>
      <c r="AA518" s="150">
        <f t="shared" si="246"/>
        <v>71207.25</v>
      </c>
      <c r="AB518" s="150">
        <f t="shared" si="247"/>
        <v>5070472452.5625</v>
      </c>
      <c r="AD518" s="592">
        <f t="shared" si="248"/>
        <v>27.082210938590912</v>
      </c>
      <c r="AE518" s="593">
        <f t="shared" si="249"/>
        <v>-20.760254542349852</v>
      </c>
      <c r="AG518" s="592">
        <f t="shared" si="250"/>
        <v>-7.0255160379000268</v>
      </c>
      <c r="AH518" s="593">
        <f t="shared" si="251"/>
        <v>-66.222905572160585</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5">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1.1080864710618354</v>
      </c>
      <c r="N519" s="585">
        <f t="shared" si="238"/>
        <v>-0.44535766984313896</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-9.1545852610029339</v>
      </c>
      <c r="X519" s="590">
        <f t="shared" si="244"/>
        <v>-179.6989155827589</v>
      </c>
      <c r="Y519" s="593">
        <f t="shared" si="245"/>
        <v>0.3010844172410998</v>
      </c>
      <c r="AA519" s="150">
        <f t="shared" si="246"/>
        <v>71619.5</v>
      </c>
      <c r="AB519" s="150">
        <f t="shared" si="247"/>
        <v>5129352780.25</v>
      </c>
      <c r="AD519" s="592">
        <f t="shared" si="248"/>
        <v>27.07647022437499</v>
      </c>
      <c r="AE519" s="593">
        <f t="shared" si="249"/>
        <v>-20.859292063428157</v>
      </c>
      <c r="AG519" s="592">
        <f t="shared" si="250"/>
        <v>-7.0482388856102931</v>
      </c>
      <c r="AH519" s="593">
        <f t="shared" si="251"/>
        <v>-66.12229499097171</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5">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1.1092728711849851</v>
      </c>
      <c r="N520" s="585">
        <f t="shared" si="238"/>
        <v>-0.44759303036322839</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-9.218936440602949</v>
      </c>
      <c r="X520" s="590">
        <f t="shared" si="244"/>
        <v>-180.1383129321803</v>
      </c>
      <c r="Y520" s="593">
        <f t="shared" si="245"/>
        <v>-0.13831293218029828</v>
      </c>
      <c r="AA520" s="150">
        <f t="shared" si="246"/>
        <v>72031.75</v>
      </c>
      <c r="AB520" s="150">
        <f t="shared" si="247"/>
        <v>5188573008.0625</v>
      </c>
      <c r="AD520" s="592">
        <f t="shared" si="248"/>
        <v>27.070704364412158</v>
      </c>
      <c r="AE520" s="593">
        <f t="shared" si="249"/>
        <v>-20.958260995566025</v>
      </c>
      <c r="AG520" s="592">
        <f t="shared" si="250"/>
        <v>-7.0706009787746122</v>
      </c>
      <c r="AH520" s="593">
        <f t="shared" si="251"/>
        <v>-66.02191573074191</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5">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1.1104648023035721</v>
      </c>
      <c r="N521" s="585">
        <f t="shared" si="238"/>
        <v>-0.44982360330556009</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-9.2830330980253439</v>
      </c>
      <c r="X521" s="590">
        <f t="shared" si="244"/>
        <v>-180.5767548981745</v>
      </c>
      <c r="Y521" s="593">
        <f t="shared" si="245"/>
        <v>-0.57675489817449943</v>
      </c>
      <c r="AA521" s="150">
        <f t="shared" si="246"/>
        <v>72444</v>
      </c>
      <c r="AB521" s="150">
        <f t="shared" si="247"/>
        <v>5248133136</v>
      </c>
      <c r="AD521" s="592">
        <f t="shared" si="248"/>
        <v>27.064913462873633</v>
      </c>
      <c r="AE521" s="593">
        <f t="shared" si="249"/>
        <v>-21.057159710330918</v>
      </c>
      <c r="AG521" s="592">
        <f t="shared" si="250"/>
        <v>-7.0926064526890009</v>
      </c>
      <c r="AH521" s="593">
        <f t="shared" si="251"/>
        <v>-65.921766684012624</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5">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1.1116899057021772</v>
      </c>
      <c r="N522" s="585">
        <f t="shared" si="238"/>
        <v>-0.45210061678449548</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-9.3483463331427927</v>
      </c>
      <c r="X522" s="590">
        <f t="shared" si="244"/>
        <v>-181.02431238919061</v>
      </c>
      <c r="Y522" s="593">
        <f t="shared" si="245"/>
        <v>-1.0243123891906123</v>
      </c>
      <c r="AA522" s="150">
        <f t="shared" si="246"/>
        <v>72865.75</v>
      </c>
      <c r="AB522" s="150">
        <f t="shared" si="247"/>
        <v>5309417523.0625</v>
      </c>
      <c r="AD522" s="592">
        <f t="shared" si="248"/>
        <v>27.058963309387206</v>
      </c>
      <c r="AE522" s="593">
        <f t="shared" si="249"/>
        <v>-21.158263145971507</v>
      </c>
      <c r="AG522" s="592">
        <f t="shared" si="250"/>
        <v>-7.1147542331588216</v>
      </c>
      <c r="AH522" s="593">
        <f t="shared" si="251"/>
        <v>-65.819546816114411</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5">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1.1129207602727453</v>
      </c>
      <c r="N523" s="585">
        <f t="shared" si="238"/>
        <v>-0.4543726054141945</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-9.4133990248924757</v>
      </c>
      <c r="X523" s="590">
        <f t="shared" si="244"/>
        <v>-181.4708712524872</v>
      </c>
      <c r="Y523" s="593">
        <f t="shared" si="245"/>
        <v>-1.4708712524871999</v>
      </c>
      <c r="AA523" s="150">
        <f t="shared" si="246"/>
        <v>73287.5</v>
      </c>
      <c r="AB523" s="150">
        <f t="shared" si="247"/>
        <v>5371057656.25</v>
      </c>
      <c r="AD523" s="592">
        <f t="shared" si="248"/>
        <v>27.052987168492532</v>
      </c>
      <c r="AE523" s="593">
        <f t="shared" si="249"/>
        <v>-21.259289744409898</v>
      </c>
      <c r="AG523" s="592">
        <f t="shared" si="250"/>
        <v>-7.1365373283964519</v>
      </c>
      <c r="AH523" s="593">
        <f t="shared" si="251"/>
        <v>-65.717565437364101</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5">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1.1141573469546215</v>
      </c>
      <c r="N524" s="585">
        <f t="shared" si="238"/>
        <v>-0.45663956243134857</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-9.4781940490815479</v>
      </c>
      <c r="X524" s="590">
        <f t="shared" si="244"/>
        <v>-181.91643222321341</v>
      </c>
      <c r="Y524" s="593">
        <f t="shared" si="245"/>
        <v>-1.9164322232134055</v>
      </c>
      <c r="AA524" s="150">
        <f t="shared" si="246"/>
        <v>73709.25</v>
      </c>
      <c r="AB524" s="150">
        <f t="shared" si="247"/>
        <v>5433053535.5625</v>
      </c>
      <c r="AD524" s="592">
        <f t="shared" si="248"/>
        <v>27.046985152745087</v>
      </c>
      <c r="AE524" s="593">
        <f t="shared" si="249"/>
        <v>-21.360237863429305</v>
      </c>
      <c r="AG524" s="592">
        <f t="shared" si="250"/>
        <v>-7.1579599697214054</v>
      </c>
      <c r="AH524" s="593">
        <f t="shared" si="251"/>
        <v>-65.615821250817532</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5">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1.1153996466831082</v>
      </c>
      <c r="N525" s="585">
        <f t="shared" ref="N525:N588" si="270">-ATAN(G525/z_RHP)</f>
        <v>-0.45890148130943403</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-9.5427342296557125</v>
      </c>
      <c r="X525" s="590">
        <f t="shared" ref="X525:X588" si="276">((L525+R525+N525+V525)-(J525+P525+T525))*radconv</f>
        <v>-182.36099608921279</v>
      </c>
      <c r="Y525" s="593">
        <f t="shared" ref="Y525:Y588" si="277">IF(X525&gt;0,X525,X525+180)</f>
        <v>-2.3609960892127901</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-7.1790263248606241</v>
      </c>
      <c r="AH525" s="593">
        <f t="shared" ref="AH525:AH588" si="283">(L525+N525-(J525+V525))*radconv</f>
        <v>-65.514312924376213</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5">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1.1166773001798325</v>
      </c>
      <c r="N526" s="585">
        <f t="shared" si="270"/>
        <v>-0.46121180662416084</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-9.6085436211137658</v>
      </c>
      <c r="X526" s="590">
        <f t="shared" si="276"/>
        <v>-182.81506891741239</v>
      </c>
      <c r="Y526" s="593">
        <f t="shared" si="277"/>
        <v>-2.8150689174123897</v>
      </c>
      <c r="AA526" s="150">
        <f t="shared" si="278"/>
        <v>74562.75</v>
      </c>
      <c r="AB526" s="150">
        <f t="shared" si="279"/>
        <v>5559603687.5625</v>
      </c>
      <c r="AD526" s="592">
        <f t="shared" si="280"/>
        <v>27.03476010696809</v>
      </c>
      <c r="AE526" s="593">
        <f t="shared" si="281"/>
        <v>-21.564280970624036</v>
      </c>
      <c r="AG526" s="592">
        <f t="shared" si="282"/>
        <v>-7.2002274064058769</v>
      </c>
      <c r="AH526" s="593">
        <f t="shared" si="283"/>
        <v>-65.41064065003961</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5">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1.1179609004146429</v>
      </c>
      <c r="N527" s="585">
        <f t="shared" si="270"/>
        <v>-0.46351683896323598</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-9.6740917687088075</v>
      </c>
      <c r="X527" s="590">
        <f t="shared" si="276"/>
        <v>-183.26809863237213</v>
      </c>
      <c r="Y527" s="593">
        <f t="shared" si="277"/>
        <v>-3.2680986323721299</v>
      </c>
      <c r="AA527" s="150">
        <f t="shared" si="278"/>
        <v>74994.5</v>
      </c>
      <c r="AB527" s="150">
        <f t="shared" si="279"/>
        <v>5624175030.25</v>
      </c>
      <c r="AD527" s="592">
        <f t="shared" si="280"/>
        <v>27.02853608112536</v>
      </c>
      <c r="AE527" s="593">
        <f t="shared" si="281"/>
        <v>-21.667368803233764</v>
      </c>
      <c r="AG527" s="592">
        <f t="shared" si="282"/>
        <v>-7.2210637461397678</v>
      </c>
      <c r="AH527" s="593">
        <f t="shared" si="283"/>
        <v>-65.307212620044652</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5">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1.1192504269276833</v>
      </c>
      <c r="N528" s="585">
        <f t="shared" si="270"/>
        <v>-0.46581657208536037</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-9.73938154147422</v>
      </c>
      <c r="X528" s="590">
        <f t="shared" si="276"/>
        <v>-183.72008624511182</v>
      </c>
      <c r="Y528" s="593">
        <f t="shared" si="277"/>
        <v>-3.7200862451118155</v>
      </c>
      <c r="AA528" s="150">
        <f t="shared" si="278"/>
        <v>75426.25</v>
      </c>
      <c r="AB528" s="150">
        <f t="shared" si="279"/>
        <v>5689119189.0625</v>
      </c>
      <c r="AD528" s="592">
        <f t="shared" si="280"/>
        <v>27.022285419528398</v>
      </c>
      <c r="AE528" s="593">
        <f t="shared" si="281"/>
        <v>-21.77036776532049</v>
      </c>
      <c r="AG528" s="592">
        <f t="shared" si="282"/>
        <v>-7.2415396164884402</v>
      </c>
      <c r="AH528" s="593">
        <f t="shared" si="283"/>
        <v>-65.204027298042391</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5">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1.1205458592590332</v>
      </c>
      <c r="N529" s="585">
        <f t="shared" si="270"/>
        <v>-0.4681110000021077</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-9.8044157569636923</v>
      </c>
      <c r="X529" s="590">
        <f t="shared" si="276"/>
        <v>-184.17103282063883</v>
      </c>
      <c r="Y529" s="593">
        <f t="shared" si="277"/>
        <v>-4.1710328206388283</v>
      </c>
      <c r="AA529" s="150">
        <f t="shared" si="278"/>
        <v>75858</v>
      </c>
      <c r="AB529" s="150">
        <f t="shared" si="279"/>
        <v>5754436164</v>
      </c>
      <c r="AD529" s="592">
        <f t="shared" si="280"/>
        <v>27.016008244509976</v>
      </c>
      <c r="AE529" s="593">
        <f t="shared" si="281"/>
        <v>-21.873276263470554</v>
      </c>
      <c r="AG529" s="592">
        <f t="shared" si="282"/>
        <v>-7.2616592254873025</v>
      </c>
      <c r="AH529" s="593">
        <f t="shared" si="283"/>
        <v>-65.101083113878246</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5">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1.1218773870591019</v>
      </c>
      <c r="N530" s="585">
        <f t="shared" si="270"/>
        <v>-0.47045307350377563</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-9.8706946473895645</v>
      </c>
      <c r="X530" s="590">
        <f t="shared" si="276"/>
        <v>-184.63134770057709</v>
      </c>
      <c r="Y530" s="593">
        <f t="shared" si="277"/>
        <v>-4.6313477005770949</v>
      </c>
      <c r="AA530" s="150">
        <f t="shared" si="278"/>
        <v>76299.75</v>
      </c>
      <c r="AB530" s="150">
        <f t="shared" si="279"/>
        <v>5821651850.0625</v>
      </c>
      <c r="AD530" s="592">
        <f t="shared" si="280"/>
        <v>27.009558366592596</v>
      </c>
      <c r="AE530" s="593">
        <f t="shared" si="281"/>
        <v>-21.978473022321449</v>
      </c>
      <c r="AG530" s="592">
        <f t="shared" si="282"/>
        <v>-7.2818804243880315</v>
      </c>
      <c r="AH530" s="593">
        <f t="shared" si="283"/>
        <v>-64.996002490930621</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5">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1.1232150540925507</v>
      </c>
      <c r="N531" s="585">
        <f t="shared" si="270"/>
        <v>-0.47278958131981885</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-9.9367118131909429</v>
      </c>
      <c r="X531" s="590">
        <f t="shared" si="276"/>
        <v>-185.09057518538631</v>
      </c>
      <c r="Y531" s="593">
        <f t="shared" si="277"/>
        <v>-5.0905751853863137</v>
      </c>
      <c r="AA531" s="150">
        <f t="shared" si="278"/>
        <v>76741.5</v>
      </c>
      <c r="AB531" s="150">
        <f t="shared" si="279"/>
        <v>5889257822.25</v>
      </c>
      <c r="AD531" s="592">
        <f t="shared" si="280"/>
        <v>27.003080992825794</v>
      </c>
      <c r="AE531" s="593">
        <f t="shared" si="281"/>
        <v>-22.083571804138359</v>
      </c>
      <c r="AG531" s="592">
        <f t="shared" si="282"/>
        <v>-7.3017373792537734</v>
      </c>
      <c r="AH531" s="593">
        <f t="shared" si="283"/>
        <v>-64.891170876413426</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5">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1.1245588384514555</v>
      </c>
      <c r="N532" s="585">
        <f t="shared" si="270"/>
        <v>-0.47512051784578557</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-10.002470113200097</v>
      </c>
      <c r="X532" s="590">
        <f t="shared" si="276"/>
        <v>-185.54871658510623</v>
      </c>
      <c r="Y532" s="593">
        <f t="shared" si="277"/>
        <v>-5.5487165851062343</v>
      </c>
      <c r="AA532" s="150">
        <f t="shared" si="278"/>
        <v>77183.25</v>
      </c>
      <c r="AB532" s="150">
        <f t="shared" si="279"/>
        <v>5957254080.5625</v>
      </c>
      <c r="AD532" s="592">
        <f t="shared" si="280"/>
        <v>26.996576255108302</v>
      </c>
      <c r="AE532" s="593">
        <f t="shared" si="281"/>
        <v>-22.188571002819543</v>
      </c>
      <c r="AG532" s="592">
        <f t="shared" si="282"/>
        <v>-7.3212343963198832</v>
      </c>
      <c r="AH532" s="593">
        <f t="shared" si="283"/>
        <v>-64.786586485999408</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5">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1.1259087182325318</v>
      </c>
      <c r="N533" s="585">
        <f t="shared" si="270"/>
        <v>-0.47744587774607961</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-10.067972355281462</v>
      </c>
      <c r="X533" s="590">
        <f t="shared" si="276"/>
        <v>-186.0057732648111</v>
      </c>
      <c r="Y533" s="593">
        <f t="shared" si="277"/>
        <v>-6.0057732648110971</v>
      </c>
      <c r="AA533" s="150">
        <f t="shared" si="278"/>
        <v>77625</v>
      </c>
      <c r="AB533" s="150">
        <f t="shared" si="279"/>
        <v>6025640625</v>
      </c>
      <c r="AD533" s="592">
        <f t="shared" si="280"/>
        <v>26.990044285603712</v>
      </c>
      <c r="AE533" s="593">
        <f t="shared" si="281"/>
        <v>-22.293469044612852</v>
      </c>
      <c r="AG533" s="592">
        <f t="shared" si="282"/>
        <v>-7.3403757167261539</v>
      </c>
      <c r="AH533" s="593">
        <f t="shared" si="283"/>
        <v>-64.682247503184001</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5">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1.1272962058744949</v>
      </c>
      <c r="N534" s="585">
        <f t="shared" si="270"/>
        <v>-0.47981941586005022</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-10.134732294780592</v>
      </c>
      <c r="X534" s="590">
        <f t="shared" si="276"/>
        <v>-186.47231382312216</v>
      </c>
      <c r="Y534" s="593">
        <f t="shared" si="277"/>
        <v>-6.472313823122164</v>
      </c>
      <c r="AA534" s="150">
        <f t="shared" si="278"/>
        <v>78077</v>
      </c>
      <c r="AB534" s="150">
        <f t="shared" si="279"/>
        <v>6096017929</v>
      </c>
      <c r="AD534" s="592">
        <f t="shared" si="280"/>
        <v>26.983332704912939</v>
      </c>
      <c r="AE534" s="593">
        <f t="shared" si="281"/>
        <v>-22.400694740159814</v>
      </c>
      <c r="AG534" s="592">
        <f t="shared" si="282"/>
        <v>-7.3595973609960916</v>
      </c>
      <c r="AH534" s="593">
        <f t="shared" si="283"/>
        <v>-64.575739613007769</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5">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1.1286900287112627</v>
      </c>
      <c r="N535" s="585">
        <f t="shared" si="270"/>
        <v>-0.48218710510620821</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-10.201229945411271</v>
      </c>
      <c r="X535" s="590">
        <f t="shared" si="276"/>
        <v>-186.93772180311245</v>
      </c>
      <c r="Y535" s="593">
        <f t="shared" si="277"/>
        <v>-6.9377218031124528</v>
      </c>
      <c r="AA535" s="150">
        <f t="shared" si="278"/>
        <v>78529</v>
      </c>
      <c r="AB535" s="150">
        <f t="shared" si="279"/>
        <v>6166803841</v>
      </c>
      <c r="AD535" s="592">
        <f t="shared" si="280"/>
        <v>26.97659289478451</v>
      </c>
      <c r="AE535" s="593">
        <f t="shared" si="281"/>
        <v>-22.507811297048463</v>
      </c>
      <c r="AG535" s="592">
        <f t="shared" si="282"/>
        <v>-7.3784553908567228</v>
      </c>
      <c r="AH535" s="593">
        <f t="shared" si="283"/>
        <v>-64.469484705122625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5">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1.1300901633018587</v>
      </c>
      <c r="N536" s="585">
        <f t="shared" si="270"/>
        <v>-0.48454894062893289</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-10.267468157587579</v>
      </c>
      <c r="X536" s="590">
        <f t="shared" si="276"/>
        <v>-187.40199883944769</v>
      </c>
      <c r="Y536" s="593">
        <f t="shared" si="277"/>
        <v>-7.4019988394476854</v>
      </c>
      <c r="AA536" s="150">
        <f t="shared" si="278"/>
        <v>78981</v>
      </c>
      <c r="AB536" s="150">
        <f t="shared" si="279"/>
        <v>6237998361</v>
      </c>
      <c r="AD536" s="592">
        <f t="shared" si="280"/>
        <v>26.969824997571166</v>
      </c>
      <c r="AE536" s="593">
        <f t="shared" si="281"/>
        <v>-22.614817129764809</v>
      </c>
      <c r="AG536" s="592">
        <f t="shared" si="282"/>
        <v>-7.3969541462685378</v>
      </c>
      <c r="AH536" s="593">
        <f t="shared" si="283"/>
        <v>-64.363480736471942</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5">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1.131496586215444</v>
      </c>
      <c r="N537" s="585">
        <f t="shared" si="270"/>
        <v>-0.48690491785780998</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-10.333449731275877</v>
      </c>
      <c r="X537" s="590">
        <f t="shared" si="276"/>
        <v>-187.86514662272876</v>
      </c>
      <c r="Y537" s="593">
        <f t="shared" si="277"/>
        <v>-7.8651466227287585</v>
      </c>
      <c r="AA537" s="150">
        <f t="shared" si="278"/>
        <v>79433</v>
      </c>
      <c r="AB537" s="150">
        <f t="shared" si="279"/>
        <v>6309601489</v>
      </c>
      <c r="AD537" s="592">
        <f t="shared" si="280"/>
        <v>26.963029155858283</v>
      </c>
      <c r="AE537" s="593">
        <f t="shared" si="281"/>
        <v>-22.721710685084041</v>
      </c>
      <c r="AG537" s="592">
        <f t="shared" si="282"/>
        <v>-7.4150979013356944</v>
      </c>
      <c r="AH537" s="593">
        <f t="shared" si="283"/>
        <v>-64.257725633663583</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5">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1.1329421651654459</v>
      </c>
      <c r="N538" s="585">
        <f t="shared" si="270"/>
        <v>-0.48930955616779787</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-10.400701281562796</v>
      </c>
      <c r="X538" s="590">
        <f t="shared" si="276"/>
        <v>-188.33788628435735</v>
      </c>
      <c r="Y538" s="593">
        <f t="shared" si="277"/>
        <v>-8.3378862843573529</v>
      </c>
      <c r="AA538" s="150">
        <f t="shared" si="278"/>
        <v>79895.5</v>
      </c>
      <c r="AB538" s="150">
        <f t="shared" si="279"/>
        <v>6383290920.25</v>
      </c>
      <c r="AD538" s="592">
        <f t="shared" si="280"/>
        <v>26.956046669336288</v>
      </c>
      <c r="AE538" s="593">
        <f t="shared" si="281"/>
        <v>-22.830969580025005</v>
      </c>
      <c r="AG538" s="592">
        <f t="shared" si="282"/>
        <v>-7.4333000619926048</v>
      </c>
      <c r="AH538" s="593">
        <f t="shared" si="283"/>
        <v>-64.149769241797998</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5">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1.1343942783922263</v>
      </c>
      <c r="N539" s="585">
        <f t="shared" si="270"/>
        <v>-0.49170805206757584</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-10.467689906311774</v>
      </c>
      <c r="X539" s="590">
        <f t="shared" si="276"/>
        <v>-188.8094473742305</v>
      </c>
      <c r="Y539" s="593">
        <f t="shared" si="277"/>
        <v>-8.8094473742305013</v>
      </c>
      <c r="AA539" s="150">
        <f t="shared" si="278"/>
        <v>80358</v>
      </c>
      <c r="AB539" s="150">
        <f t="shared" si="279"/>
        <v>6457408164</v>
      </c>
      <c r="AD539" s="592">
        <f t="shared" si="280"/>
        <v>26.949035227656548</v>
      </c>
      <c r="AE539" s="593">
        <f t="shared" si="281"/>
        <v>-22.94010773069839</v>
      </c>
      <c r="AG539" s="592">
        <f t="shared" si="282"/>
        <v>-7.4511393856802464</v>
      </c>
      <c r="AH539" s="593">
        <f t="shared" si="283"/>
        <v>-64.042068928048977</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5">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1.1358529008348559</v>
      </c>
      <c r="N540" s="585">
        <f t="shared" si="270"/>
        <v>-0.4941004015720773</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-10.534418449337489</v>
      </c>
      <c r="X540" s="590">
        <f t="shared" si="276"/>
        <v>-189.27983187842543</v>
      </c>
      <c r="Y540" s="593">
        <f t="shared" si="277"/>
        <v>-9.2798318784254263</v>
      </c>
      <c r="AA540" s="150">
        <f t="shared" si="278"/>
        <v>80820.5</v>
      </c>
      <c r="AB540" s="150">
        <f t="shared" si="279"/>
        <v>6531953220.25</v>
      </c>
      <c r="AD540" s="592">
        <f t="shared" si="280"/>
        <v>26.941994984240409</v>
      </c>
      <c r="AE540" s="593">
        <f t="shared" si="281"/>
        <v>-23.049123573346261</v>
      </c>
      <c r="AG540" s="592">
        <f t="shared" si="282"/>
        <v>-7.4686202455813984</v>
      </c>
      <c r="AH540" s="593">
        <f t="shared" si="283"/>
        <v>-63.934622380056652</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5">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1.1373180074489195</v>
      </c>
      <c r="N541" s="585">
        <f t="shared" si="270"/>
        <v>-0.49648660099805458</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-10.600889704536913</v>
      </c>
      <c r="X541" s="590">
        <f t="shared" si="276"/>
        <v>-189.74904183968752</v>
      </c>
      <c r="Y541" s="593">
        <f t="shared" si="277"/>
        <v>-9.7490418396875214</v>
      </c>
      <c r="AA541" s="150">
        <f t="shared" si="278"/>
        <v>81283</v>
      </c>
      <c r="AB541" s="150">
        <f t="shared" si="279"/>
        <v>6606926089</v>
      </c>
      <c r="AD541" s="592">
        <f t="shared" si="280"/>
        <v>26.934926092704558</v>
      </c>
      <c r="AE541" s="593">
        <f t="shared" si="281"/>
        <v>-23.158015576492154</v>
      </c>
      <c r="AG541" s="592">
        <f t="shared" si="282"/>
        <v>-7.485746948209111</v>
      </c>
      <c r="AH541" s="593">
        <f t="shared" si="283"/>
        <v>-63.827427257192454</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5">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1.1388238537786319</v>
      </c>
      <c r="N542" s="585">
        <f t="shared" si="270"/>
        <v>-0.49892189374781437</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-10.668642503080877</v>
      </c>
      <c r="X542" s="590">
        <f t="shared" si="276"/>
        <v>-190.2279441408879</v>
      </c>
      <c r="Y542" s="593">
        <f t="shared" si="277"/>
        <v>-10.227944140887899</v>
      </c>
      <c r="AA542" s="150">
        <f t="shared" si="278"/>
        <v>81756.25</v>
      </c>
      <c r="AB542" s="150">
        <f t="shared" si="279"/>
        <v>6684084414.0625</v>
      </c>
      <c r="AD542" s="592">
        <f t="shared" si="280"/>
        <v>26.927663402968022</v>
      </c>
      <c r="AE542" s="593">
        <f t="shared" si="281"/>
        <v>-23.269308827891763</v>
      </c>
      <c r="AG542" s="592">
        <f t="shared" si="282"/>
        <v>-7.5029095541506221</v>
      </c>
      <c r="AH542" s="593">
        <f t="shared" si="283"/>
        <v>-63.717998360905284</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5">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1.1403364362139821</v>
      </c>
      <c r="N543" s="585">
        <f t="shared" si="270"/>
        <v>-0.50135074035420124</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-10.736131678294175</v>
      </c>
      <c r="X543" s="590">
        <f t="shared" si="276"/>
        <v>-190.70562116839909</v>
      </c>
      <c r="Y543" s="593">
        <f t="shared" si="277"/>
        <v>-10.705621168399091</v>
      </c>
      <c r="AA543" s="150">
        <f t="shared" si="278"/>
        <v>82229.5</v>
      </c>
      <c r="AB543" s="150">
        <f t="shared" si="279"/>
        <v>6761690670.25</v>
      </c>
      <c r="AD543" s="592">
        <f t="shared" si="280"/>
        <v>26.920371043869086</v>
      </c>
      <c r="AE543" s="593">
        <f t="shared" si="281"/>
        <v>-23.380469272165239</v>
      </c>
      <c r="AG543" s="592">
        <f t="shared" si="282"/>
        <v>-7.5197102626464183</v>
      </c>
      <c r="AH543" s="593">
        <f t="shared" si="283"/>
        <v>-63.608827669493571</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5">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1.1418557279856116</v>
      </c>
      <c r="N544" s="585">
        <f t="shared" si="270"/>
        <v>-0.50377313783429201</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-10.803360069265327</v>
      </c>
      <c r="X544" s="590">
        <f t="shared" si="276"/>
        <v>-191.18207528762713</v>
      </c>
      <c r="Y544" s="593">
        <f t="shared" si="277"/>
        <v>-11.182075287627129</v>
      </c>
      <c r="AA544" s="150">
        <f t="shared" si="278"/>
        <v>82702.75</v>
      </c>
      <c r="AB544" s="150">
        <f t="shared" si="279"/>
        <v>6839744857.5625</v>
      </c>
      <c r="AD544" s="592">
        <f t="shared" si="280"/>
        <v>26.91304918052915</v>
      </c>
      <c r="AE544" s="593">
        <f t="shared" si="281"/>
        <v>-23.491495368848419</v>
      </c>
      <c r="AG544" s="592">
        <f t="shared" si="282"/>
        <v>-7.5361534791718965</v>
      </c>
      <c r="AH544" s="593">
        <f t="shared" si="283"/>
        <v>-63.499912590988714</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5">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1.1433817023480186</v>
      </c>
      <c r="N545" s="585">
        <f t="shared" si="270"/>
        <v>-0.50618908352372904</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-10.870330465706445</v>
      </c>
      <c r="X545" s="590">
        <f t="shared" si="276"/>
        <v>-191.65730892118307</v>
      </c>
      <c r="Y545" s="593">
        <f t="shared" si="277"/>
        <v>-11.657308921183073</v>
      </c>
      <c r="AA545" s="150">
        <f t="shared" si="278"/>
        <v>83176</v>
      </c>
      <c r="AB545" s="150">
        <f t="shared" si="279"/>
        <v>6918246976</v>
      </c>
      <c r="AD545" s="592">
        <f t="shared" si="280"/>
        <v>26.905697978221941</v>
      </c>
      <c r="AE545" s="593">
        <f t="shared" si="281"/>
        <v>-23.602385609802393</v>
      </c>
      <c r="AG545" s="592">
        <f t="shared" si="282"/>
        <v>-7.5522435416701796</v>
      </c>
      <c r="AH545" s="593">
        <f t="shared" si="283"/>
        <v>-63.391250507459731</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5">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1.144950846718662</v>
      </c>
      <c r="N546" s="585">
        <f t="shared" si="270"/>
        <v>-0.50865577444848697</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-10.938628463821349</v>
      </c>
      <c r="X546" s="590">
        <f t="shared" si="276"/>
        <v>-192.14257794743747</v>
      </c>
      <c r="Y546" s="593">
        <f t="shared" si="277"/>
        <v>-12.142577947437474</v>
      </c>
      <c r="AA546" s="150">
        <f t="shared" si="278"/>
        <v>83660.5</v>
      </c>
      <c r="AB546" s="150">
        <f t="shared" si="279"/>
        <v>6999079260.25</v>
      </c>
      <c r="AD546" s="592">
        <f t="shared" si="280"/>
        <v>26.898141803969299</v>
      </c>
      <c r="AE546" s="593">
        <f t="shared" si="281"/>
        <v>-23.715769630428877</v>
      </c>
      <c r="AG546" s="592">
        <f t="shared" si="282"/>
        <v>-7.5683547072135484</v>
      </c>
      <c r="AH546" s="593">
        <f t="shared" si="283"/>
        <v>-63.280264659759318</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5">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1.1465269385225871</v>
      </c>
      <c r="N547" s="585">
        <f t="shared" si="270"/>
        <v>-0.5111156985534363</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-11.006661819786203</v>
      </c>
      <c r="X547" s="590">
        <f t="shared" si="276"/>
        <v>-192.62657308929599</v>
      </c>
      <c r="Y547" s="593">
        <f t="shared" si="277"/>
        <v>-12.626573089295988</v>
      </c>
      <c r="AA547" s="150">
        <f t="shared" si="278"/>
        <v>84145</v>
      </c>
      <c r="AB547" s="150">
        <f t="shared" si="279"/>
        <v>7080381025</v>
      </c>
      <c r="AD547" s="592">
        <f t="shared" si="280"/>
        <v>26.890555230283123</v>
      </c>
      <c r="AE547" s="593">
        <f t="shared" si="281"/>
        <v>-23.829008161268778</v>
      </c>
      <c r="AG547" s="592">
        <f t="shared" si="282"/>
        <v>-7.5841047190798339</v>
      </c>
      <c r="AH547" s="593">
        <f t="shared" si="283"/>
        <v>-63.169538347026034</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5">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1.1481099491480942</v>
      </c>
      <c r="N548" s="585">
        <f t="shared" si="270"/>
        <v>-0.51356885399669738</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-11.074433374265054</v>
      </c>
      <c r="X548" s="590">
        <f t="shared" si="276"/>
        <v>-193.10929712482198</v>
      </c>
      <c r="Y548" s="593">
        <f t="shared" si="277"/>
        <v>-13.109297124821978</v>
      </c>
      <c r="AA548" s="150">
        <f t="shared" si="278"/>
        <v>84629.5</v>
      </c>
      <c r="AB548" s="150">
        <f t="shared" si="279"/>
        <v>7162152270.25</v>
      </c>
      <c r="AD548" s="592">
        <f t="shared" si="280"/>
        <v>26.88293843490554</v>
      </c>
      <c r="AE548" s="593">
        <f t="shared" si="281"/>
        <v>-23.94209968474993</v>
      </c>
      <c r="AG548" s="592">
        <f t="shared" si="282"/>
        <v>-7.5994980204933782</v>
      </c>
      <c r="AH548" s="593">
        <f t="shared" si="283"/>
        <v>-63.059068683255568</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5">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1.1496998500158078</v>
      </c>
      <c r="N549" s="585">
        <f t="shared" si="270"/>
        <v>-0.5160152392723798</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-11.14194591899895</v>
      </c>
      <c r="X549" s="590">
        <f t="shared" si="276"/>
        <v>-193.59075288971965</v>
      </c>
      <c r="Y549" s="593">
        <f t="shared" si="277"/>
        <v>-13.590752889719653</v>
      </c>
      <c r="AA549" s="150">
        <f t="shared" si="278"/>
        <v>85114</v>
      </c>
      <c r="AB549" s="150">
        <f t="shared" si="279"/>
        <v>7244392996</v>
      </c>
      <c r="AD549" s="592">
        <f t="shared" si="280"/>
        <v>26.875291595681674</v>
      </c>
      <c r="AE549" s="593">
        <f t="shared" si="281"/>
        <v>-24.055042715785369</v>
      </c>
      <c r="AG549" s="592">
        <f t="shared" si="282"/>
        <v>-7.6145389860982231</v>
      </c>
      <c r="AH549" s="593">
        <f t="shared" si="283"/>
        <v>-62.948852758987719</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5">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1.1513329446260054</v>
      </c>
      <c r="N550" s="585">
        <f t="shared" si="270"/>
        <v>-0.51851016313862641</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-11.210726218445954</v>
      </c>
      <c r="X550" s="590">
        <f t="shared" si="276"/>
        <v>-194.08183076376</v>
      </c>
      <c r="Y550" s="593">
        <f t="shared" si="277"/>
        <v>-14.081830763759996</v>
      </c>
      <c r="AA550" s="150">
        <f t="shared" si="278"/>
        <v>85609.5</v>
      </c>
      <c r="AB550" s="150">
        <f t="shared" si="279"/>
        <v>7328986490.25</v>
      </c>
      <c r="AD550" s="592">
        <f t="shared" si="280"/>
        <v>26.867440254685672</v>
      </c>
      <c r="AE550" s="593">
        <f t="shared" si="281"/>
        <v>-24.170394882781693</v>
      </c>
      <c r="AG550" s="592">
        <f t="shared" si="282"/>
        <v>-7.6295615019007297</v>
      </c>
      <c r="AH550" s="593">
        <f t="shared" si="283"/>
        <v>-62.836393903181836</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5">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1.152973185547248</v>
      </c>
      <c r="N551" s="585">
        <f t="shared" si="270"/>
        <v>-0.52099800380474759</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-11.279241368495219</v>
      </c>
      <c r="X551" s="590">
        <f t="shared" si="276"/>
        <v>-194.57158830256699</v>
      </c>
      <c r="Y551" s="593">
        <f t="shared" si="277"/>
        <v>-14.571588302566994</v>
      </c>
      <c r="AA551" s="150">
        <f t="shared" si="278"/>
        <v>86105</v>
      </c>
      <c r="AB551" s="150">
        <f t="shared" si="279"/>
        <v>7414071025</v>
      </c>
      <c r="AD551" s="592">
        <f t="shared" si="280"/>
        <v>26.859557866647904</v>
      </c>
      <c r="AE551" s="593">
        <f t="shared" si="281"/>
        <v>-24.285588697248553</v>
      </c>
      <c r="AG551" s="592">
        <f t="shared" si="282"/>
        <v>-7.644224542613383</v>
      </c>
      <c r="AH551" s="593">
        <f t="shared" si="283"/>
        <v>-62.724194214153428</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5">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1.1546205423236291</v>
      </c>
      <c r="N552" s="585">
        <f t="shared" si="270"/>
        <v>-0.52347876072712041</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-11.347494204605376</v>
      </c>
      <c r="X552" s="590">
        <f t="shared" si="276"/>
        <v>-195.06002871828122</v>
      </c>
      <c r="Y552" s="593">
        <f t="shared" si="277"/>
        <v>-15.060028718281217</v>
      </c>
      <c r="AA552" s="150">
        <f t="shared" si="278"/>
        <v>86600.5</v>
      </c>
      <c r="AB552" s="150">
        <f t="shared" si="279"/>
        <v>7499646600.25</v>
      </c>
      <c r="AD552" s="592">
        <f t="shared" si="280"/>
        <v>26.851644622037661</v>
      </c>
      <c r="AE552" s="593">
        <f t="shared" si="281"/>
        <v>-24.400622671535956</v>
      </c>
      <c r="AG552" s="592">
        <f t="shared" si="282"/>
        <v>-7.6585325736173724</v>
      </c>
      <c r="AH552" s="593">
        <f t="shared" si="283"/>
        <v>-62.612250511290206</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5">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1.1562749845410549</v>
      </c>
      <c r="N553" s="585">
        <f t="shared" si="270"/>
        <v>-0.52595243371396694</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-11.415487513979629</v>
      </c>
      <c r="X553" s="590">
        <f t="shared" si="276"/>
        <v>-195.54715528063835</v>
      </c>
      <c r="Y553" s="593">
        <f t="shared" si="277"/>
        <v>-15.54715528063835</v>
      </c>
      <c r="AA553" s="150">
        <f t="shared" si="278"/>
        <v>87096</v>
      </c>
      <c r="AB553" s="150">
        <f t="shared" si="279"/>
        <v>7585713216</v>
      </c>
      <c r="AD553" s="592">
        <f t="shared" si="280"/>
        <v>26.843700711370076</v>
      </c>
      <c r="AE553" s="593">
        <f t="shared" si="281"/>
        <v>-24.515495350553444</v>
      </c>
      <c r="AG553" s="592">
        <f t="shared" si="282"/>
        <v>-7.6724899909061284</v>
      </c>
      <c r="AH553" s="593">
        <f t="shared" si="283"/>
        <v>-62.500559593380594</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5">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1.1579759669982888</v>
      </c>
      <c r="N554" s="585">
        <f t="shared" si="270"/>
        <v>-0.52847742821055332</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-11.484827206774021</v>
      </c>
      <c r="X554" s="590">
        <f t="shared" si="276"/>
        <v>-196.04447579626603</v>
      </c>
      <c r="Y554" s="593">
        <f t="shared" si="277"/>
        <v>-16.044475796266028</v>
      </c>
      <c r="AA554" s="150">
        <f t="shared" si="278"/>
        <v>87603.25</v>
      </c>
      <c r="AB554" s="150">
        <f t="shared" si="279"/>
        <v>7674329410.5625</v>
      </c>
      <c r="AD554" s="592">
        <f t="shared" si="280"/>
        <v>26.835536856867396</v>
      </c>
      <c r="AE554" s="593">
        <f t="shared" si="281"/>
        <v>-24.632923490121538</v>
      </c>
      <c r="AG554" s="592">
        <f t="shared" si="282"/>
        <v>-7.6864197207556302</v>
      </c>
      <c r="AH554" s="593">
        <f t="shared" si="283"/>
        <v>-62.386478586788677</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5">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1.1596843105588468</v>
      </c>
      <c r="N555" s="585">
        <f t="shared" si="270"/>
        <v>-0.53099499952518603</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-11.553900679886695</v>
      </c>
      <c r="X555" s="590">
        <f t="shared" si="276"/>
        <v>-196.54042652157969</v>
      </c>
      <c r="Y555" s="593">
        <f t="shared" si="277"/>
        <v>-16.54042652157969</v>
      </c>
      <c r="AA555" s="150">
        <f t="shared" si="278"/>
        <v>88110.5</v>
      </c>
      <c r="AB555" s="150">
        <f t="shared" si="279"/>
        <v>7763460210.25</v>
      </c>
      <c r="AD555" s="592">
        <f t="shared" si="280"/>
        <v>26.827341268797067</v>
      </c>
      <c r="AE555" s="593">
        <f t="shared" si="281"/>
        <v>-24.750179609555975</v>
      </c>
      <c r="AG555" s="592">
        <f t="shared" si="282"/>
        <v>-7.6999911173167943</v>
      </c>
      <c r="AH555" s="593">
        <f t="shared" si="283"/>
        <v>-62.272655645821935</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5">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1.161399982739622</v>
      </c>
      <c r="N556" s="585">
        <f t="shared" si="270"/>
        <v>-0.53350514857180487</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-11.6227107743253</v>
      </c>
      <c r="X556" s="590">
        <f t="shared" si="276"/>
        <v>-197.03501114343263</v>
      </c>
      <c r="Y556" s="593">
        <f t="shared" si="277"/>
        <v>-17.035011143432627</v>
      </c>
      <c r="AA556" s="150">
        <f t="shared" si="278"/>
        <v>88617.75</v>
      </c>
      <c r="AB556" s="150">
        <f t="shared" si="279"/>
        <v>7853105615.0625</v>
      </c>
      <c r="AD556" s="592">
        <f t="shared" si="280"/>
        <v>26.819114151596146</v>
      </c>
      <c r="AE556" s="593">
        <f t="shared" si="281"/>
        <v>-24.867262249336424</v>
      </c>
      <c r="AG556" s="592">
        <f t="shared" si="282"/>
        <v>-7.7132086794267343</v>
      </c>
      <c r="AH556" s="593">
        <f t="shared" si="283"/>
        <v>-62.159087276673866</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5">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1.1631229511102259</v>
      </c>
      <c r="N557" s="585">
        <f t="shared" si="270"/>
        <v>-0.53600787663310012</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-11.691260283327106</v>
      </c>
      <c r="X557" s="590">
        <f t="shared" si="276"/>
        <v>-197.52823340618988</v>
      </c>
      <c r="Y557" s="593">
        <f t="shared" si="277"/>
        <v>-17.528233406189884</v>
      </c>
      <c r="AA557" s="150">
        <f t="shared" si="278"/>
        <v>89125</v>
      </c>
      <c r="AB557" s="150">
        <f t="shared" si="279"/>
        <v>7943265625</v>
      </c>
      <c r="AD557" s="592">
        <f t="shared" si="280"/>
        <v>26.810855709682386</v>
      </c>
      <c r="AE557" s="593">
        <f t="shared" si="281"/>
        <v>-24.984169982754462</v>
      </c>
      <c r="AG557" s="592">
        <f t="shared" si="282"/>
        <v>-7.7260768354082199</v>
      </c>
      <c r="AH557" s="593">
        <f t="shared" si="283"/>
        <v>-62.045769967969477</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5">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1.1648933484213471</v>
      </c>
      <c r="N558" s="585">
        <f t="shared" si="270"/>
        <v>-0.53856089908097704</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-11.761130836240683</v>
      </c>
      <c r="X558" s="590">
        <f t="shared" si="276"/>
        <v>-198.03147463163987</v>
      </c>
      <c r="Y558" s="593">
        <f t="shared" si="277"/>
        <v>-18.031474631639867</v>
      </c>
      <c r="AA558" s="150">
        <f t="shared" si="278"/>
        <v>89644</v>
      </c>
      <c r="AB558" s="150">
        <f t="shared" si="279"/>
        <v>8036046736</v>
      </c>
      <c r="AD558" s="592">
        <f t="shared" si="280"/>
        <v>26.802373759867013</v>
      </c>
      <c r="AE558" s="593">
        <f t="shared" si="281"/>
        <v>-25.103603295982019</v>
      </c>
      <c r="AG558" s="592">
        <f t="shared" si="282"/>
        <v>-7.7388859767194695</v>
      </c>
      <c r="AH558" s="593">
        <f t="shared" si="283"/>
        <v>-61.930083935123548</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5">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1.1666713153460626</v>
      </c>
      <c r="N559" s="585">
        <f t="shared" si="270"/>
        <v>-0.54110615663995987</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-11.83073435954006</v>
      </c>
      <c r="X559" s="590">
        <f t="shared" si="276"/>
        <v>-198.53329776016437</v>
      </c>
      <c r="Y559" s="593">
        <f t="shared" si="277"/>
        <v>-18.533297760164373</v>
      </c>
      <c r="AA559" s="150">
        <f t="shared" si="278"/>
        <v>90163</v>
      </c>
      <c r="AB559" s="150">
        <f t="shared" si="279"/>
        <v>8129366569</v>
      </c>
      <c r="AD559" s="592">
        <f t="shared" si="280"/>
        <v>26.793859450130494</v>
      </c>
      <c r="AE559" s="593">
        <f t="shared" si="281"/>
        <v>-25.222850586391669</v>
      </c>
      <c r="AG559" s="592">
        <f t="shared" si="282"/>
        <v>-7.7513384958676728</v>
      </c>
      <c r="AH559" s="593">
        <f t="shared" si="283"/>
        <v>-61.814653240346225</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5">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1.168456817329764</v>
      </c>
      <c r="N560" s="585">
        <f t="shared" si="270"/>
        <v>-0.54364365185331087</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-11.900073697684865</v>
      </c>
      <c r="X560" s="590">
        <f t="shared" si="276"/>
        <v>-199.03370698032458</v>
      </c>
      <c r="Y560" s="593">
        <f t="shared" si="277"/>
        <v>-19.033706980324581</v>
      </c>
      <c r="AA560" s="150">
        <f t="shared" si="278"/>
        <v>90682</v>
      </c>
      <c r="AB560" s="150">
        <f t="shared" si="279"/>
        <v>8223225124</v>
      </c>
      <c r="AD560" s="592">
        <f t="shared" si="280"/>
        <v>26.785312999255879</v>
      </c>
      <c r="AE560" s="593">
        <f t="shared" si="281"/>
        <v>-25.341910428042727</v>
      </c>
      <c r="AG560" s="592">
        <f t="shared" si="282"/>
        <v>-7.7634389155727916</v>
      </c>
      <c r="AH560" s="593">
        <f t="shared" si="283"/>
        <v>-61.699474073059434</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5">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1.1702498198827325</v>
      </c>
      <c r="N561" s="585">
        <f t="shared" si="270"/>
        <v>-0.54617338764864831</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-11.969151647959963</v>
      </c>
      <c r="X561" s="590">
        <f t="shared" si="276"/>
        <v>-199.53270653770105</v>
      </c>
      <c r="Y561" s="593">
        <f t="shared" si="277"/>
        <v>-19.532706537701046</v>
      </c>
      <c r="AA561" s="150">
        <f t="shared" si="278"/>
        <v>91201</v>
      </c>
      <c r="AB561" s="150">
        <f t="shared" si="279"/>
        <v>8317622401</v>
      </c>
      <c r="AD561" s="592">
        <f t="shared" si="280"/>
        <v>26.776734625932505</v>
      </c>
      <c r="AE561" s="593">
        <f t="shared" si="281"/>
        <v>-25.460781428036761</v>
      </c>
      <c r="AG561" s="592">
        <f t="shared" si="282"/>
        <v>-7.7751916870205031</v>
      </c>
      <c r="AH561" s="593">
        <f t="shared" si="283"/>
        <v>-61.584542608443549</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5">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1.1720920059512969</v>
      </c>
      <c r="N562" s="585">
        <f t="shared" si="270"/>
        <v>-0.54875358729138279</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-12.039559122214452</v>
      </c>
      <c r="X562" s="590">
        <f t="shared" si="276"/>
        <v>-200.04178921357905</v>
      </c>
      <c r="Y562" s="593">
        <f t="shared" si="277"/>
        <v>-20.041789213579051</v>
      </c>
      <c r="AA562" s="150">
        <f t="shared" si="278"/>
        <v>91732</v>
      </c>
      <c r="AB562" s="150">
        <f t="shared" si="279"/>
        <v>8414759824</v>
      </c>
      <c r="AD562" s="592">
        <f t="shared" si="280"/>
        <v>26.767925098558717</v>
      </c>
      <c r="AE562" s="593">
        <f t="shared" si="281"/>
        <v>-25.582204030153409</v>
      </c>
      <c r="AG562" s="592">
        <f t="shared" si="282"/>
        <v>-7.7868609691536106</v>
      </c>
      <c r="AH562" s="593">
        <f t="shared" si="283"/>
        <v>-61.467206125939214</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5">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1.1739419706205292</v>
      </c>
      <c r="N563" s="585">
        <f t="shared" si="270"/>
        <v>-0.55132567196140636</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-12.109698759499183</v>
      </c>
      <c r="X563" s="590">
        <f t="shared" si="276"/>
        <v>-200.54940545399435</v>
      </c>
      <c r="Y563" s="593">
        <f t="shared" si="277"/>
        <v>-20.549405453994353</v>
      </c>
      <c r="AA563" s="150">
        <f t="shared" si="278"/>
        <v>92263</v>
      </c>
      <c r="AB563" s="150">
        <f t="shared" si="279"/>
        <v>8512461169</v>
      </c>
      <c r="AD563" s="592">
        <f t="shared" si="280"/>
        <v>26.759082618243497</v>
      </c>
      <c r="AE563" s="593">
        <f t="shared" si="281"/>
        <v>-25.703426110266367</v>
      </c>
      <c r="AG563" s="592">
        <f t="shared" si="282"/>
        <v>-7.798175544024307</v>
      </c>
      <c r="AH563" s="593">
        <f t="shared" si="283"/>
        <v>-61.350120792292898</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5">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1.1757996771746437</v>
      </c>
      <c r="N564" s="585">
        <f t="shared" si="270"/>
        <v>-0.55388964601069179</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-12.179573410110896</v>
      </c>
      <c r="X564" s="590">
        <f t="shared" si="276"/>
        <v>-201.05555998178056</v>
      </c>
      <c r="Y564" s="593">
        <f t="shared" si="277"/>
        <v>-21.055559981780561</v>
      </c>
      <c r="AA564" s="150">
        <f t="shared" si="278"/>
        <v>92794</v>
      </c>
      <c r="AB564" s="150">
        <f t="shared" si="279"/>
        <v>8610726436</v>
      </c>
      <c r="AD564" s="592">
        <f t="shared" si="280"/>
        <v>26.750207418780757</v>
      </c>
      <c r="AE564" s="593">
        <f t="shared" si="281"/>
        <v>-25.824446279610026</v>
      </c>
      <c r="AG564" s="592">
        <f t="shared" si="282"/>
        <v>-7.8091399550423848</v>
      </c>
      <c r="AH564" s="593">
        <f t="shared" si="283"/>
        <v>-61.233282472422978</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5">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1.1776650889763569</v>
      </c>
      <c r="N565" s="585">
        <f t="shared" si="270"/>
        <v>-0.55644551419035837</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-12.249185877778357</v>
      </c>
      <c r="X565" s="590">
        <f t="shared" si="276"/>
        <v>-201.56025757598474</v>
      </c>
      <c r="Y565" s="593">
        <f t="shared" si="277"/>
        <v>-21.560257575984735</v>
      </c>
      <c r="AA565" s="150">
        <f t="shared" si="278"/>
        <v>93325</v>
      </c>
      <c r="AB565" s="150">
        <f t="shared" si="279"/>
        <v>8709555625</v>
      </c>
      <c r="AD565" s="592">
        <f t="shared" si="280"/>
        <v>26.7412997337862</v>
      </c>
      <c r="AE565" s="593">
        <f t="shared" si="281"/>
        <v>-25.945263182733125</v>
      </c>
      <c r="AG565" s="592">
        <f t="shared" si="282"/>
        <v>-7.8197586730324744</v>
      </c>
      <c r="AH565" s="593">
        <f t="shared" si="283"/>
        <v>-61.116687020580862</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5">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1.1795823547912179</v>
      </c>
      <c r="N566" s="585">
        <f t="shared" si="270"/>
        <v>-0.55905315979067516</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-12.320168422222999</v>
      </c>
      <c r="X566" s="590">
        <f t="shared" si="276"/>
        <v>-202.07533226139813</v>
      </c>
      <c r="Y566" s="593">
        <f t="shared" si="277"/>
        <v>-22.075332261398131</v>
      </c>
      <c r="AA566" s="150">
        <f t="shared" si="278"/>
        <v>93868.5</v>
      </c>
      <c r="AB566" s="150">
        <f t="shared" si="279"/>
        <v>8811295292.25</v>
      </c>
      <c r="AD566" s="592">
        <f t="shared" si="280"/>
        <v>26.732148959526153</v>
      </c>
      <c r="AE566" s="593">
        <f t="shared" si="281"/>
        <v>-26.068712294449778</v>
      </c>
      <c r="AG566" s="592">
        <f t="shared" si="282"/>
        <v>-7.830273956862646</v>
      </c>
      <c r="AH566" s="593">
        <f t="shared" si="283"/>
        <v>-60.997594028917248</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5">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1.1815076154851725</v>
      </c>
      <c r="N567" s="585">
        <f t="shared" si="270"/>
        <v>-0.56165232472627669</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-12.390882094004475</v>
      </c>
      <c r="X567" s="590">
        <f t="shared" si="276"/>
        <v>-202.58889091716713</v>
      </c>
      <c r="Y567" s="593">
        <f t="shared" si="277"/>
        <v>-22.588890917167134</v>
      </c>
      <c r="AA567" s="150">
        <f t="shared" si="278"/>
        <v>94412</v>
      </c>
      <c r="AB567" s="150">
        <f t="shared" si="279"/>
        <v>8913625744</v>
      </c>
      <c r="AD567" s="592">
        <f t="shared" si="280"/>
        <v>26.722964646881067</v>
      </c>
      <c r="AE567" s="593">
        <f t="shared" si="281"/>
        <v>-26.191945687875471</v>
      </c>
      <c r="AG567" s="592">
        <f t="shared" si="282"/>
        <v>-7.8404363313289762</v>
      </c>
      <c r="AH567" s="593">
        <f t="shared" si="283"/>
        <v>-60.878746656298311</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5">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1.1834408320392207</v>
      </c>
      <c r="N568" s="585">
        <f t="shared" si="270"/>
        <v>-0.56424301535461263</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-12.461329755695958</v>
      </c>
      <c r="X568" s="590">
        <f t="shared" si="276"/>
        <v>-203.10093884100598</v>
      </c>
      <c r="Y568" s="593">
        <f t="shared" si="277"/>
        <v>-23.100938841005984</v>
      </c>
      <c r="AA568" s="150">
        <f t="shared" si="278"/>
        <v>94955.5</v>
      </c>
      <c r="AB568" s="150">
        <f t="shared" si="279"/>
        <v>9016546980.25</v>
      </c>
      <c r="AD568" s="592">
        <f t="shared" si="280"/>
        <v>26.713747045658103</v>
      </c>
      <c r="AE568" s="593">
        <f t="shared" si="281"/>
        <v>-26.314962013629163</v>
      </c>
      <c r="AG568" s="592">
        <f t="shared" si="282"/>
        <v>-7.8502503631061753</v>
      </c>
      <c r="AH568" s="593">
        <f t="shared" si="283"/>
        <v>-60.760140429901099</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5">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1.185381965528187</v>
      </c>
      <c r="N569" s="585">
        <f t="shared" si="270"/>
        <v>-0.5668252384467577</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-12.531514223837629</v>
      </c>
      <c r="X569" s="590">
        <f t="shared" si="276"/>
        <v>-203.61148138580614</v>
      </c>
      <c r="Y569" s="593">
        <f t="shared" si="277"/>
        <v>-23.611481385806144</v>
      </c>
      <c r="AA569" s="150">
        <f t="shared" si="278"/>
        <v>95499</v>
      </c>
      <c r="AB569" s="150">
        <f t="shared" si="279"/>
        <v>9120059001</v>
      </c>
      <c r="AD569" s="592">
        <f t="shared" si="280"/>
        <v>26.704496405390159</v>
      </c>
      <c r="AE569" s="593">
        <f t="shared" si="281"/>
        <v>-26.43775995601623</v>
      </c>
      <c r="AG569" s="592">
        <f t="shared" si="282"/>
        <v>-7.8597205450703731</v>
      </c>
      <c r="AH569" s="593">
        <f t="shared" si="283"/>
        <v>-60.641770870032794</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5">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1.1893798317502342</v>
      </c>
      <c r="N570" s="585">
        <f t="shared" si="270"/>
        <v>-0.57208446320118056</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-12.674366953340677</v>
      </c>
      <c r="X570" s="590">
        <f t="shared" si="276"/>
        <v>-204.65184860600192</v>
      </c>
      <c r="Y570" s="593">
        <f t="shared" si="277"/>
        <v>-24.65184860600192</v>
      </c>
      <c r="AA570" s="150">
        <f t="shared" si="278"/>
        <v>96611.5</v>
      </c>
      <c r="AB570" s="150">
        <f t="shared" si="279"/>
        <v>9333781932.25</v>
      </c>
      <c r="AD570" s="592">
        <f t="shared" si="280"/>
        <v>26.685459121465051</v>
      </c>
      <c r="AE570" s="593">
        <f t="shared" si="281"/>
        <v>-26.688430923819713</v>
      </c>
      <c r="AG570" s="592">
        <f t="shared" si="282"/>
        <v>-7.878051489357186</v>
      </c>
      <c r="AH570" s="593">
        <f t="shared" si="283"/>
        <v>-60.400197218903379</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5">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1.1934103746190181</v>
      </c>
      <c r="N571" s="585">
        <f t="shared" si="270"/>
        <v>-0.57730830734043348</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-12.81615170708112</v>
      </c>
      <c r="X571" s="590">
        <f t="shared" si="276"/>
        <v>-205.68597822649423</v>
      </c>
      <c r="Y571" s="593">
        <f t="shared" si="277"/>
        <v>-25.685978226494228</v>
      </c>
      <c r="AA571" s="150">
        <f t="shared" si="278"/>
        <v>97724</v>
      </c>
      <c r="AB571" s="150">
        <f t="shared" si="279"/>
        <v>9549980176</v>
      </c>
      <c r="AD571" s="592">
        <f t="shared" si="280"/>
        <v>26.666286585408393</v>
      </c>
      <c r="AE571" s="593">
        <f t="shared" si="281"/>
        <v>-26.938170972321526</v>
      </c>
      <c r="AG571" s="592">
        <f t="shared" si="282"/>
        <v>-7.8949971804086641</v>
      </c>
      <c r="AH571" s="593">
        <f t="shared" si="283"/>
        <v>-60.159557849395426</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5">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1.1975667676997026</v>
      </c>
      <c r="N572" s="585">
        <f t="shared" si="270"/>
        <v>-0.58261535943252996</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-12.96010481504994</v>
      </c>
      <c r="X572" s="590">
        <f t="shared" si="276"/>
        <v>-206.73740773432237</v>
      </c>
      <c r="Y572" s="593">
        <f t="shared" si="277"/>
        <v>-26.737407734322375</v>
      </c>
      <c r="AA572" s="150">
        <f t="shared" si="278"/>
        <v>98862</v>
      </c>
      <c r="AB572" s="150">
        <f t="shared" si="279"/>
        <v>9773695044</v>
      </c>
      <c r="AD572" s="592">
        <f t="shared" si="280"/>
        <v>26.646536868786399</v>
      </c>
      <c r="AE572" s="593">
        <f t="shared" si="281"/>
        <v>-27.192661768120008</v>
      </c>
      <c r="AG572" s="592">
        <f t="shared" si="282"/>
        <v>-7.910935351787705</v>
      </c>
      <c r="AH572" s="593">
        <f t="shared" si="283"/>
        <v>-59.914329141074575</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5">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1.2017566561475512</v>
      </c>
      <c r="N573" s="585">
        <f t="shared" si="270"/>
        <v>-0.58788555334526993</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-13.102987260012748</v>
      </c>
      <c r="X573" s="590">
        <f t="shared" si="276"/>
        <v>-207.78241268390471</v>
      </c>
      <c r="Y573" s="593">
        <f t="shared" si="277"/>
        <v>-27.78241268390471</v>
      </c>
      <c r="AA573" s="150">
        <f t="shared" si="278"/>
        <v>100000</v>
      </c>
      <c r="AB573" s="150">
        <f t="shared" si="279"/>
        <v>10000000000</v>
      </c>
      <c r="AD573" s="592">
        <f t="shared" si="280"/>
        <v>26.62665012408587</v>
      </c>
      <c r="AE573" s="593">
        <f t="shared" si="281"/>
        <v>-27.446157804279956</v>
      </c>
      <c r="AG573" s="592">
        <f t="shared" si="282"/>
        <v>-7.9254985424512734</v>
      </c>
      <c r="AH573" s="593">
        <f t="shared" si="283"/>
        <v>-59.66999638433105</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5">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1.2060802855648778</v>
      </c>
      <c r="N574" s="585">
        <f t="shared" si="270"/>
        <v>-0.59324270378633115</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-13.248174229711182</v>
      </c>
      <c r="X574" s="590">
        <f t="shared" si="276"/>
        <v>-208.84561155392015</v>
      </c>
      <c r="Y574" s="593">
        <f t="shared" si="277"/>
        <v>-28.845611553920151</v>
      </c>
      <c r="AA574" s="150">
        <f t="shared" si="278"/>
        <v>101165</v>
      </c>
      <c r="AB574" s="150">
        <f t="shared" si="279"/>
        <v>10234357225</v>
      </c>
      <c r="AD574" s="592">
        <f t="shared" si="280"/>
        <v>26.606151967583639</v>
      </c>
      <c r="AE574" s="593">
        <f t="shared" si="281"/>
        <v>-27.704627759026884</v>
      </c>
      <c r="AG574" s="592">
        <f t="shared" si="282"/>
        <v>-7.9390203665323709</v>
      </c>
      <c r="AH574" s="593">
        <f t="shared" si="283"/>
        <v>-59.420751628194211</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5">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1.210438280501932</v>
      </c>
      <c r="N575" s="585">
        <f t="shared" si="270"/>
        <v>-0.59856143078306012</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-13.392286310951766</v>
      </c>
      <c r="X575" s="590">
        <f t="shared" si="276"/>
        <v>-209.90219059504545</v>
      </c>
      <c r="Y575" s="593">
        <f t="shared" si="277"/>
        <v>-29.902190595045454</v>
      </c>
      <c r="AA575" s="150">
        <f t="shared" si="278"/>
        <v>102330</v>
      </c>
      <c r="AB575" s="150">
        <f t="shared" si="279"/>
        <v>10471428900</v>
      </c>
      <c r="AD575" s="592">
        <f t="shared" si="280"/>
        <v>26.585514990620922</v>
      </c>
      <c r="AE575" s="593">
        <f t="shared" si="281"/>
        <v>-27.962035357591656</v>
      </c>
      <c r="AG575" s="592">
        <f t="shared" si="282"/>
        <v>-7.9511759235778161</v>
      </c>
      <c r="AH575" s="593">
        <f t="shared" si="283"/>
        <v>-59.172358368264241</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5">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1.2149248897136262</v>
      </c>
      <c r="N576" s="585">
        <f t="shared" si="270"/>
        <v>-0.6039547432488015</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-13.538404888808902</v>
      </c>
      <c r="X576" s="590">
        <f t="shared" si="276"/>
        <v>-210.97466937823037</v>
      </c>
      <c r="Y576" s="593">
        <f t="shared" si="277"/>
        <v>-30.974669378230374</v>
      </c>
      <c r="AA576" s="150">
        <f t="shared" si="278"/>
        <v>103520</v>
      </c>
      <c r="AB576" s="150">
        <f t="shared" si="279"/>
        <v>10716390400</v>
      </c>
      <c r="AD576" s="592">
        <f t="shared" si="280"/>
        <v>26.564294341545338</v>
      </c>
      <c r="AE576" s="593">
        <f t="shared" si="281"/>
        <v>-28.223860374764811</v>
      </c>
      <c r="AG576" s="592">
        <f t="shared" si="282"/>
        <v>-7.9622191296440716</v>
      </c>
      <c r="AH576" s="593">
        <f t="shared" si="283"/>
        <v>-58.919467998233813</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5">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1.2194465778004386</v>
      </c>
      <c r="N577" s="585">
        <f t="shared" si="270"/>
        <v>-0.60930821384785439</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-13.683449300436363</v>
      </c>
      <c r="X577" s="590">
        <f t="shared" si="276"/>
        <v>-212.04036531328083</v>
      </c>
      <c r="Y577" s="593">
        <f t="shared" si="277"/>
        <v>-32.04036531328083</v>
      </c>
      <c r="AA577" s="150">
        <f t="shared" si="278"/>
        <v>104710</v>
      </c>
      <c r="AB577" s="150">
        <f t="shared" si="279"/>
        <v>10964184100</v>
      </c>
      <c r="AD577" s="592">
        <f t="shared" si="280"/>
        <v>26.542933914244195</v>
      </c>
      <c r="AE577" s="593">
        <f t="shared" si="281"/>
        <v>-28.484558150512125</v>
      </c>
      <c r="AG577" s="592">
        <f t="shared" si="282"/>
        <v>-7.9719113054632071</v>
      </c>
      <c r="AH577" s="593">
        <f t="shared" si="283"/>
        <v>-58.667373122904131</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5">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1.2241182675974962</v>
      </c>
      <c r="N578" s="585">
        <f t="shared" si="270"/>
        <v>-0.61475542756562584</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-13.831059107939083</v>
      </c>
      <c r="X578" s="590">
        <f t="shared" si="276"/>
        <v>-213.12595290910045</v>
      </c>
      <c r="Y578" s="593">
        <f t="shared" si="277"/>
        <v>-33.125952909100448</v>
      </c>
      <c r="AA578" s="150">
        <f t="shared" si="278"/>
        <v>105930</v>
      </c>
      <c r="AB578" s="150">
        <f t="shared" si="279"/>
        <v>11221164900</v>
      </c>
      <c r="AD578" s="592">
        <f t="shared" si="280"/>
        <v>26.520892539884656</v>
      </c>
      <c r="AE578" s="593">
        <f t="shared" si="281"/>
        <v>-28.750648859838716</v>
      </c>
      <c r="AG578" s="592">
        <f t="shared" si="282"/>
        <v>-7.9804827004595467</v>
      </c>
      <c r="AH578" s="593">
        <f t="shared" si="283"/>
        <v>-58.409699823030302</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5">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1.2288260027980149</v>
      </c>
      <c r="N579" s="585">
        <f t="shared" si="270"/>
        <v>-0.62016106319832764</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-13.977587874550288</v>
      </c>
      <c r="X579" s="590">
        <f t="shared" si="276"/>
        <v>-214.20454808567303</v>
      </c>
      <c r="Y579" s="593">
        <f t="shared" si="277"/>
        <v>-34.204548085673025</v>
      </c>
      <c r="AA579" s="150">
        <f t="shared" si="278"/>
        <v>107150</v>
      </c>
      <c r="AB579" s="150">
        <f t="shared" si="279"/>
        <v>11481122500</v>
      </c>
      <c r="AD579" s="592">
        <f t="shared" si="280"/>
        <v>26.498709644049327</v>
      </c>
      <c r="AE579" s="593">
        <f t="shared" si="281"/>
        <v>-29.015536954658625</v>
      </c>
      <c r="AG579" s="592">
        <f t="shared" si="282"/>
        <v>-7.98770888446413</v>
      </c>
      <c r="AH579" s="593">
        <f t="shared" si="283"/>
        <v>-58.152763368833028</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5">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1.2336864563034045</v>
      </c>
      <c r="N580" s="585">
        <f t="shared" si="270"/>
        <v>-0.62565666938839271</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-14.126622860860889</v>
      </c>
      <c r="X580" s="590">
        <f t="shared" si="276"/>
        <v>-215.30248716274772</v>
      </c>
      <c r="Y580" s="593">
        <f t="shared" si="277"/>
        <v>-35.302487162747724</v>
      </c>
      <c r="AA580" s="150">
        <f t="shared" si="278"/>
        <v>108400</v>
      </c>
      <c r="AB580" s="150">
        <f t="shared" si="279"/>
        <v>11750560000</v>
      </c>
      <c r="AD580" s="592">
        <f t="shared" si="280"/>
        <v>26.4758373140921</v>
      </c>
      <c r="AE580" s="593">
        <f t="shared" si="281"/>
        <v>-29.285682830833686</v>
      </c>
      <c r="AG580" s="592">
        <f t="shared" si="282"/>
        <v>-7.9937550916746432</v>
      </c>
      <c r="AH580" s="593">
        <f t="shared" si="283"/>
        <v>-57.890220868418794</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5">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1.2385838761411327</v>
      </c>
      <c r="N581" s="585">
        <f t="shared" si="270"/>
        <v>-0.63110897938860566</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-14.274571660506663</v>
      </c>
      <c r="X581" s="590">
        <f t="shared" si="276"/>
        <v>-216.39323583829324</v>
      </c>
      <c r="Y581" s="593">
        <f t="shared" si="277"/>
        <v>-36.393235838293236</v>
      </c>
      <c r="AA581" s="150">
        <f t="shared" si="278"/>
        <v>109650</v>
      </c>
      <c r="AB581" s="150">
        <f t="shared" si="279"/>
        <v>12023122500</v>
      </c>
      <c r="AD581" s="592">
        <f t="shared" si="280"/>
        <v>26.452822154146599</v>
      </c>
      <c r="AE581" s="593">
        <f t="shared" si="281"/>
        <v>-29.554549494591388</v>
      </c>
      <c r="AG581" s="592">
        <f t="shared" si="282"/>
        <v>-7.9984641352352961</v>
      </c>
      <c r="AH581" s="593">
        <f t="shared" si="283"/>
        <v>-57.628346120415884</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5">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1.2436168741603504</v>
      </c>
      <c r="N582" s="585">
        <f t="shared" si="270"/>
        <v>-0.63662592819834607</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-14.424384915179791</v>
      </c>
      <c r="X582" s="590">
        <f t="shared" si="276"/>
        <v>-217.49847178516373</v>
      </c>
      <c r="Y582" s="593">
        <f t="shared" si="277"/>
        <v>-37.49847178516373</v>
      </c>
      <c r="AA582" s="150">
        <f t="shared" si="278"/>
        <v>110925</v>
      </c>
      <c r="AB582" s="150">
        <f t="shared" si="279"/>
        <v>12304355625</v>
      </c>
      <c r="AD582" s="592">
        <f t="shared" si="280"/>
        <v>26.429202530318634</v>
      </c>
      <c r="AE582" s="593">
        <f t="shared" si="281"/>
        <v>-29.82746778885916</v>
      </c>
      <c r="AG582" s="592">
        <f t="shared" si="282"/>
        <v>-8.0019271306666511</v>
      </c>
      <c r="AH582" s="593">
        <f t="shared" si="283"/>
        <v>-57.361866760516648</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5">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1.248687418002602</v>
      </c>
      <c r="N583" s="585">
        <f t="shared" si="270"/>
        <v>-0.64209823710771896</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-14.573116995664428</v>
      </c>
      <c r="X583" s="590">
        <f t="shared" si="276"/>
        <v>-218.59638929626581</v>
      </c>
      <c r="Y583" s="593">
        <f t="shared" si="277"/>
        <v>-38.596389296265812</v>
      </c>
      <c r="AA583" s="150">
        <f t="shared" si="278"/>
        <v>112200</v>
      </c>
      <c r="AB583" s="150">
        <f t="shared" si="279"/>
        <v>12588840000</v>
      </c>
      <c r="AD583" s="592">
        <f t="shared" si="280"/>
        <v>26.405440330230981</v>
      </c>
      <c r="AE583" s="593">
        <f t="shared" si="281"/>
        <v>-30.099039867859521</v>
      </c>
      <c r="AG583" s="592">
        <f t="shared" si="282"/>
        <v>-8.0040732170180444</v>
      </c>
      <c r="AH583" s="593">
        <f t="shared" si="283"/>
        <v>-57.095970964151299</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5">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1.2539357804544324</v>
      </c>
      <c r="N584" s="585">
        <f t="shared" si="270"/>
        <v>-0.64767449833158941</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-14.724830702252181</v>
      </c>
      <c r="X584" s="590">
        <f t="shared" si="276"/>
        <v>-219.71691036897798</v>
      </c>
      <c r="Y584" s="593">
        <f t="shared" si="277"/>
        <v>-39.716910368977977</v>
      </c>
      <c r="AA584" s="150">
        <f t="shared" si="278"/>
        <v>113510</v>
      </c>
      <c r="AB584" s="150">
        <f t="shared" si="279"/>
        <v>12884520100</v>
      </c>
      <c r="AD584" s="592">
        <f t="shared" si="280"/>
        <v>26.380880497390716</v>
      </c>
      <c r="AE584" s="593">
        <f t="shared" si="281"/>
        <v>-30.376657516397032</v>
      </c>
      <c r="AG584" s="592">
        <f t="shared" si="282"/>
        <v>-8.0049439075309134</v>
      </c>
      <c r="AH584" s="593">
        <f t="shared" si="283"/>
        <v>-56.823325480977815</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5">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1.2592228079238821</v>
      </c>
      <c r="N585" s="585">
        <f t="shared" si="270"/>
        <v>-0.65320410483539659</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-14.875453046623637</v>
      </c>
      <c r="X585" s="590">
        <f t="shared" si="276"/>
        <v>-220.82988382410878</v>
      </c>
      <c r="Y585" s="593">
        <f t="shared" si="277"/>
        <v>-40.829883824108776</v>
      </c>
      <c r="AA585" s="150">
        <f t="shared" si="278"/>
        <v>114820</v>
      </c>
      <c r="AB585" s="150">
        <f t="shared" si="279"/>
        <v>13183632400</v>
      </c>
      <c r="AD585" s="592">
        <f t="shared" si="280"/>
        <v>26.356176570978391</v>
      </c>
      <c r="AE585" s="593">
        <f t="shared" si="281"/>
        <v>-30.652839990567301</v>
      </c>
      <c r="AG585" s="592">
        <f t="shared" si="282"/>
        <v>-8.0044990106689706</v>
      </c>
      <c r="AH585" s="593">
        <f t="shared" si="283"/>
        <v>-56.551177568477002</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5">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1.2646500096527689</v>
      </c>
      <c r="N586" s="585">
        <f t="shared" si="270"/>
        <v>-0.65879149742002718</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-15.027852241383419</v>
      </c>
      <c r="X586" s="590">
        <f t="shared" si="276"/>
        <v>-221.95642650623626</v>
      </c>
      <c r="Y586" s="593">
        <f t="shared" si="277"/>
        <v>-41.956426506236255</v>
      </c>
      <c r="AA586" s="150">
        <f t="shared" si="278"/>
        <v>116155</v>
      </c>
      <c r="AB586" s="150">
        <f t="shared" si="279"/>
        <v>13491984025</v>
      </c>
      <c r="AD586" s="592">
        <f t="shared" si="280"/>
        <v>26.330856279188275</v>
      </c>
      <c r="AE586" s="593">
        <f t="shared" si="281"/>
        <v>-30.932810187832494</v>
      </c>
      <c r="AG586" s="592">
        <f t="shared" si="282"/>
        <v>-8.0027291561776472</v>
      </c>
      <c r="AH586" s="593">
        <f t="shared" si="283"/>
        <v>-56.274286457130515</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5">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1.2701163543143772</v>
      </c>
      <c r="N587" s="585">
        <f t="shared" si="270"/>
        <v>-0.66433096750890042</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-15.179168348490206</v>
      </c>
      <c r="X587" s="590">
        <f t="shared" si="276"/>
        <v>-223.07532229327822</v>
      </c>
      <c r="Y587" s="593">
        <f t="shared" si="277"/>
        <v>-43.075322293278219</v>
      </c>
      <c r="AA587" s="150">
        <f t="shared" si="278"/>
        <v>117490</v>
      </c>
      <c r="AB587" s="150">
        <f t="shared" si="279"/>
        <v>13803900100</v>
      </c>
      <c r="AD587" s="592">
        <f t="shared" si="280"/>
        <v>26.305393054210072</v>
      </c>
      <c r="AE587" s="593">
        <f t="shared" si="281"/>
        <v>-31.211277536343722</v>
      </c>
      <c r="AG587" s="592">
        <f t="shared" si="282"/>
        <v>-7.9996666012957647</v>
      </c>
      <c r="AH587" s="593">
        <f t="shared" si="283"/>
        <v>-55.997788169695163</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5">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1.2757661793870991</v>
      </c>
      <c r="N588" s="585">
        <f t="shared" si="270"/>
        <v>-0.66996613549996764</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-15.333351100838023</v>
      </c>
      <c r="X588" s="590">
        <f t="shared" si="276"/>
        <v>-224.21570433131052</v>
      </c>
      <c r="Y588" s="593">
        <f t="shared" si="277"/>
        <v>-44.215704331310519</v>
      </c>
      <c r="AA588" s="150">
        <f t="shared" si="278"/>
        <v>118860</v>
      </c>
      <c r="AB588" s="150">
        <f t="shared" si="279"/>
        <v>14127699600</v>
      </c>
      <c r="AD588" s="592">
        <f t="shared" si="280"/>
        <v>26.279117158594254</v>
      </c>
      <c r="AE588" s="593">
        <f t="shared" si="281"/>
        <v>-31.495477473263026</v>
      </c>
      <c r="AG588" s="592">
        <f t="shared" si="282"/>
        <v>-7.9952165515086024</v>
      </c>
      <c r="AH588" s="593">
        <f t="shared" si="283"/>
        <v>-55.714384511925012</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5">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1.2814561585906998</v>
      </c>
      <c r="N589" s="585">
        <f t="shared" ref="N589:N613" si="302">-ATAN(G589/z_RHP)</f>
        <v>-0.67555143649471749</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-15.486444673397465</v>
      </c>
      <c r="X589" s="590">
        <f t="shared" ref="X589:X613" si="308">((L589+R589+N589+V589)-(J589+P589+T589))*radconv</f>
        <v>-225.34824153482751</v>
      </c>
      <c r="Y589" s="593">
        <f t="shared" ref="Y589:Y613" si="309">IF(X589&gt;0,X589,X589+180)</f>
        <v>-45.348241534827508</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-7.9894785314009127</v>
      </c>
      <c r="AH589" s="593">
        <f t="shared" ref="AH589:AH613" si="315">(L589+N589-(J589+V589))*radconv</f>
        <v>-55.431263377655689</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5">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1.3059778138199964</v>
      </c>
      <c r="N590" s="585">
        <f t="shared" si="302"/>
        <v>-0.69865216433875665</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-16.123078099252211</v>
      </c>
      <c r="X590" s="590">
        <f t="shared" si="308"/>
        <v>-230.05846473464518</v>
      </c>
      <c r="Y590" s="593">
        <f t="shared" si="309"/>
        <v>-50.058464734645185</v>
      </c>
      <c r="AA590" s="150">
        <f t="shared" si="310"/>
        <v>126030</v>
      </c>
      <c r="AB590" s="150">
        <f t="shared" si="311"/>
        <v>15883560900</v>
      </c>
      <c r="AD590" s="592">
        <f t="shared" si="312"/>
        <v>26.1393417947017</v>
      </c>
      <c r="AE590" s="593">
        <f t="shared" si="313"/>
        <v>-32.95677510173924</v>
      </c>
      <c r="AG590" s="592">
        <f t="shared" si="314"/>
        <v>-7.951699699620125</v>
      </c>
      <c r="AH590" s="593">
        <f t="shared" si="315"/>
        <v>-54.234281433770825</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5">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1.3311705074218572</v>
      </c>
      <c r="N591" s="585">
        <f t="shared" si="302"/>
        <v>-0.72089001950220433</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-16.742416949127559</v>
      </c>
      <c r="X591" s="590">
        <f t="shared" si="308"/>
        <v>-234.63809602645568</v>
      </c>
      <c r="Y591" s="593">
        <f t="shared" si="309"/>
        <v>-54.638096026455685</v>
      </c>
      <c r="AA591" s="150">
        <f t="shared" si="310"/>
        <v>131830</v>
      </c>
      <c r="AB591" s="150">
        <f t="shared" si="311"/>
        <v>17379148900</v>
      </c>
      <c r="AD591" s="592">
        <f t="shared" si="312"/>
        <v>26.023740080693585</v>
      </c>
      <c r="AE591" s="593">
        <f t="shared" si="313"/>
        <v>-34.106611219246382</v>
      </c>
      <c r="AG591" s="592">
        <f t="shared" si="314"/>
        <v>-7.8938355711578154</v>
      </c>
      <c r="AH591" s="593">
        <f t="shared" si="315"/>
        <v>-53.036354963485259</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5">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1.3885438748227779</v>
      </c>
      <c r="N592" s="585">
        <f t="shared" si="302"/>
        <v>-0.76673618314706715</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-18.046967951948844</v>
      </c>
      <c r="X592" s="590">
        <f t="shared" si="308"/>
        <v>-244.25698387589799</v>
      </c>
      <c r="Y592" s="593">
        <f t="shared" si="309"/>
        <v>-64.256983875897987</v>
      </c>
      <c r="AA592" s="150">
        <f t="shared" si="310"/>
        <v>144540</v>
      </c>
      <c r="AB592" s="150">
        <f t="shared" si="311"/>
        <v>20891811600</v>
      </c>
      <c r="AD592" s="592">
        <f t="shared" si="312"/>
        <v>25.763765043160276</v>
      </c>
      <c r="AE592" s="593">
        <f t="shared" si="313"/>
        <v>-36.525312484200356</v>
      </c>
      <c r="AG592" s="592">
        <f t="shared" si="314"/>
        <v>-7.7062274040621812</v>
      </c>
      <c r="AH592" s="593">
        <f t="shared" si="315"/>
        <v>-50.385454938957793</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5">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1.4545918384561058</v>
      </c>
      <c r="N593" s="585">
        <f t="shared" si="302"/>
        <v>-0.81278575016584953</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-19.41030409954401</v>
      </c>
      <c r="X593" s="590">
        <f t="shared" si="308"/>
        <v>-254.23917061535181</v>
      </c>
      <c r="Y593" s="593">
        <f t="shared" si="309"/>
        <v>-74.23917061535181</v>
      </c>
      <c r="AA593" s="150">
        <f t="shared" si="310"/>
        <v>158490</v>
      </c>
      <c r="AB593" s="150">
        <f t="shared" si="311"/>
        <v>25119080100</v>
      </c>
      <c r="AD593" s="592">
        <f t="shared" si="312"/>
        <v>25.470245616071296</v>
      </c>
      <c r="AE593" s="593">
        <f t="shared" si="313"/>
        <v>-39.022104297143159</v>
      </c>
      <c r="AG593" s="592">
        <f t="shared" si="314"/>
        <v>-7.4189788490382806</v>
      </c>
      <c r="AH593" s="593">
        <f t="shared" si="315"/>
        <v>-47.390443043059186</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5">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1.5302022208680752</v>
      </c>
      <c r="N594" s="585">
        <f t="shared" si="302"/>
        <v>-0.8585860108883534</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-20.843162559210256</v>
      </c>
      <c r="X594" s="590">
        <f t="shared" si="308"/>
        <v>-264.61749814647789</v>
      </c>
      <c r="Y594" s="593">
        <f t="shared" si="309"/>
        <v>-84.617498146477885</v>
      </c>
      <c r="AA594" s="150">
        <f t="shared" si="310"/>
        <v>173780</v>
      </c>
      <c r="AB594" s="150">
        <f t="shared" si="311"/>
        <v>30199488400</v>
      </c>
      <c r="AD594" s="592">
        <f t="shared" si="312"/>
        <v>25.141890801048167</v>
      </c>
      <c r="AE594" s="593">
        <f t="shared" si="313"/>
        <v>-41.574744849106672</v>
      </c>
      <c r="AG594" s="592">
        <f t="shared" si="314"/>
        <v>-7.0212425951494808</v>
      </c>
      <c r="AH594" s="593">
        <f t="shared" si="315"/>
        <v>-43.939097318064398</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5">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1.6164555127626505</v>
      </c>
      <c r="N595" s="585">
        <f t="shared" si="302"/>
        <v>-0.90378898212261582</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-22.367358800429592</v>
      </c>
      <c r="X595" s="590">
        <f t="shared" si="308"/>
        <v>-275.49091708619517</v>
      </c>
      <c r="Y595" s="593">
        <f t="shared" si="309"/>
        <v>-95.490917086195168</v>
      </c>
      <c r="AA595" s="150">
        <f t="shared" si="310"/>
        <v>190550</v>
      </c>
      <c r="AB595" s="150">
        <f t="shared" si="311"/>
        <v>36309302500</v>
      </c>
      <c r="AD595" s="592">
        <f t="shared" si="312"/>
        <v>24.777313356132204</v>
      </c>
      <c r="AE595" s="593">
        <f t="shared" si="313"/>
        <v>-44.16407882802968</v>
      </c>
      <c r="AG595" s="592">
        <f t="shared" si="314"/>
        <v>-6.4939959556473088</v>
      </c>
      <c r="AH595" s="593">
        <f t="shared" si="315"/>
        <v>-39.865944689682117</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5">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1.7143785204209752</v>
      </c>
      <c r="N596" s="585">
        <f t="shared" si="302"/>
        <v>-0.94800861904540079</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-24.018154374423261</v>
      </c>
      <c r="X596" s="590">
        <f t="shared" si="308"/>
        <v>-287.01515730826321</v>
      </c>
      <c r="Y596" s="593">
        <f t="shared" si="309"/>
        <v>-107.01515730826321</v>
      </c>
      <c r="AA596" s="150">
        <f t="shared" si="310"/>
        <v>208930</v>
      </c>
      <c r="AB596" s="150">
        <f t="shared" si="311"/>
        <v>43651744900</v>
      </c>
      <c r="AD596" s="592">
        <f t="shared" si="312"/>
        <v>24.376186454266442</v>
      </c>
      <c r="AE596" s="593">
        <f t="shared" si="313"/>
        <v>-46.766099675312738</v>
      </c>
      <c r="AG596" s="592">
        <f t="shared" si="314"/>
        <v>-5.8038341547905947</v>
      </c>
      <c r="AH596" s="593">
        <f t="shared" si="315"/>
        <v>-34.940169984426547</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5">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1.8252015248873628</v>
      </c>
      <c r="N597" s="585">
        <f t="shared" si="302"/>
        <v>-0.99096277017306489</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-25.864407503894068</v>
      </c>
      <c r="X597" s="590">
        <f t="shared" si="308"/>
        <v>-299.47569920184606</v>
      </c>
      <c r="Y597" s="593">
        <f t="shared" si="309"/>
        <v>-119.47569920184606</v>
      </c>
      <c r="AA597" s="150">
        <f t="shared" si="310"/>
        <v>229090</v>
      </c>
      <c r="AB597" s="150">
        <f t="shared" si="311"/>
        <v>52482228100</v>
      </c>
      <c r="AD597" s="592">
        <f t="shared" si="312"/>
        <v>23.938225118154275</v>
      </c>
      <c r="AE597" s="593">
        <f t="shared" si="313"/>
        <v>-49.360242832493199</v>
      </c>
      <c r="AG597" s="592">
        <f t="shared" si="314"/>
        <v>-4.8854707851599031</v>
      </c>
      <c r="AH597" s="593">
        <f t="shared" si="315"/>
        <v>-28.814369172932285</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5">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1.9500930923125097</v>
      </c>
      <c r="N598" s="585">
        <f t="shared" si="302"/>
        <v>-1.0323578514521374</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-28.040939923892321</v>
      </c>
      <c r="X598" s="590">
        <f t="shared" si="308"/>
        <v>-313.3178862527339</v>
      </c>
      <c r="Y598" s="593">
        <f t="shared" si="309"/>
        <v>-133.3178862527339</v>
      </c>
      <c r="AA598" s="150">
        <f t="shared" si="310"/>
        <v>251190</v>
      </c>
      <c r="AB598" s="150">
        <f t="shared" si="311"/>
        <v>63096416100</v>
      </c>
      <c r="AD598" s="592">
        <f t="shared" si="312"/>
        <v>23.464301545813719</v>
      </c>
      <c r="AE598" s="593">
        <f t="shared" si="313"/>
        <v>-51.923002738973317</v>
      </c>
      <c r="AG598" s="592">
        <f t="shared" si="314"/>
        <v>-3.6064281300097023</v>
      </c>
      <c r="AH598" s="593">
        <f t="shared" si="315"/>
        <v>-20.9778179954513</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5">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2.0903769856351828</v>
      </c>
      <c r="N599" s="585">
        <f t="shared" si="302"/>
        <v>-1.0719843514172696</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-30.850647176517811</v>
      </c>
      <c r="X599" s="590">
        <f t="shared" si="308"/>
        <v>-329.24708277112956</v>
      </c>
      <c r="Y599" s="593">
        <f t="shared" si="309"/>
        <v>-149.24708277112956</v>
      </c>
      <c r="AA599" s="150">
        <f t="shared" si="310"/>
        <v>275420</v>
      </c>
      <c r="AB599" s="150">
        <f t="shared" si="311"/>
        <v>75856176400</v>
      </c>
      <c r="AD599" s="592">
        <f t="shared" si="312"/>
        <v>22.955562257354515</v>
      </c>
      <c r="AE599" s="593">
        <f t="shared" si="313"/>
        <v>-54.434142428718481</v>
      </c>
      <c r="AG599" s="592">
        <f t="shared" si="314"/>
        <v>-1.666673107398803</v>
      </c>
      <c r="AH599" s="593">
        <f t="shared" si="315"/>
        <v>-10.671224432295272</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5">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2.2475443310978593</v>
      </c>
      <c r="N600" s="585">
        <f t="shared" si="302"/>
        <v>-1.1097001803334758</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-35.090116030994011</v>
      </c>
      <c r="X600" s="590">
        <f t="shared" si="308"/>
        <v>-348.23343159909194</v>
      </c>
      <c r="Y600" s="593">
        <f t="shared" si="309"/>
        <v>-168.23343159909194</v>
      </c>
      <c r="AA600" s="150">
        <f t="shared" si="310"/>
        <v>302000</v>
      </c>
      <c r="AB600" s="150">
        <f t="shared" si="311"/>
        <v>91204000000</v>
      </c>
      <c r="AD600" s="592">
        <f t="shared" si="312"/>
        <v>22.413412245024659</v>
      </c>
      <c r="AE600" s="593">
        <f t="shared" si="313"/>
        <v>-56.876468905518337</v>
      </c>
      <c r="AG600" s="592">
        <f t="shared" si="314"/>
        <v>1.7275506276755399</v>
      </c>
      <c r="AH600" s="593">
        <f t="shared" si="315"/>
        <v>3.1200545495050331</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5">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2.4229593784770622</v>
      </c>
      <c r="N601" s="585">
        <f t="shared" si="302"/>
        <v>-1.1453598015374113</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-43.91230362125215</v>
      </c>
      <c r="X601" s="590">
        <f t="shared" si="308"/>
        <v>-371.06996168199083</v>
      </c>
      <c r="Y601" s="593">
        <f t="shared" si="309"/>
        <v>-191.06996168199083</v>
      </c>
      <c r="AA601" s="150">
        <f t="shared" si="310"/>
        <v>331130</v>
      </c>
      <c r="AB601" s="150">
        <f t="shared" si="311"/>
        <v>109647076900</v>
      </c>
      <c r="AD601" s="592">
        <f t="shared" si="312"/>
        <v>21.840462199252933</v>
      </c>
      <c r="AE601" s="593">
        <f t="shared" si="313"/>
        <v>-59.231846228384406</v>
      </c>
      <c r="AG601" s="592">
        <f t="shared" si="314"/>
        <v>9.7280978403826843</v>
      </c>
      <c r="AH601" s="593">
        <f t="shared" si="315"/>
        <v>21.233123245565462</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5">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2.618398450992065</v>
      </c>
      <c r="N602" s="585">
        <f t="shared" si="302"/>
        <v>-1.1789311796430666</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-48.5149434271232</v>
      </c>
      <c r="X602" s="590">
        <f t="shared" si="308"/>
        <v>-217.15196009806382</v>
      </c>
      <c r="Y602" s="593">
        <f t="shared" si="309"/>
        <v>-37.151960098063824</v>
      </c>
      <c r="AA602" s="150">
        <f t="shared" si="310"/>
        <v>363080</v>
      </c>
      <c r="AB602" s="150">
        <f t="shared" si="311"/>
        <v>131827086400</v>
      </c>
      <c r="AD602" s="592">
        <f t="shared" si="312"/>
        <v>21.238633749384725</v>
      </c>
      <c r="AE602" s="593">
        <f t="shared" si="313"/>
        <v>-61.489398060057276</v>
      </c>
      <c r="AG602" s="592">
        <f t="shared" si="314"/>
        <v>13.530691367340243</v>
      </c>
      <c r="AH602" s="593">
        <f t="shared" si="315"/>
        <v>-136.90956520815882</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5">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2.835577141791028</v>
      </c>
      <c r="N603" s="585">
        <f t="shared" si="302"/>
        <v>-1.2103820834253274</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-39.575720890770093</v>
      </c>
      <c r="X603" s="590">
        <f t="shared" si="308"/>
        <v>-243.52968075322846</v>
      </c>
      <c r="Y603" s="593">
        <f t="shared" si="309"/>
        <v>-63.529680753228462</v>
      </c>
      <c r="AA603" s="150">
        <f t="shared" si="310"/>
        <v>398110</v>
      </c>
      <c r="AB603" s="150">
        <f t="shared" si="311"/>
        <v>158491572100</v>
      </c>
      <c r="AD603" s="592">
        <f t="shared" si="312"/>
        <v>20.610685423701931</v>
      </c>
      <c r="AE603" s="593">
        <f t="shared" si="313"/>
        <v>-63.638566210118348</v>
      </c>
      <c r="AG603" s="592">
        <f t="shared" si="314"/>
        <v>3.8126061731890992</v>
      </c>
      <c r="AH603" s="593">
        <f t="shared" si="315"/>
        <v>-114.23249345529842</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5">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3.0764559699518945</v>
      </c>
      <c r="N604" s="585">
        <f t="shared" si="302"/>
        <v>-1.2397324200272712</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-37.6051977473901</v>
      </c>
      <c r="X604" s="590">
        <f t="shared" si="308"/>
        <v>-267.28195206068335</v>
      </c>
      <c r="Y604" s="593">
        <f t="shared" si="309"/>
        <v>-87.281952060683352</v>
      </c>
      <c r="AA604" s="150">
        <f t="shared" si="310"/>
        <v>436520</v>
      </c>
      <c r="AB604" s="150">
        <f t="shared" si="311"/>
        <v>190549710400</v>
      </c>
      <c r="AD604" s="592">
        <f t="shared" si="312"/>
        <v>19.959167576517196</v>
      </c>
      <c r="AE604" s="593">
        <f t="shared" si="313"/>
        <v>-65.672917710223075</v>
      </c>
      <c r="AG604" s="592">
        <f t="shared" si="314"/>
        <v>1.0842638682715242</v>
      </c>
      <c r="AH604" s="593">
        <f t="shared" si="315"/>
        <v>-93.640634418143648</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5">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3.3431223191402277</v>
      </c>
      <c r="N605" s="585">
        <f t="shared" si="302"/>
        <v>-1.2670243834603887</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-37.679500144460462</v>
      </c>
      <c r="X605" s="590">
        <f t="shared" si="308"/>
        <v>-288.03697717227368</v>
      </c>
      <c r="Y605" s="593">
        <f t="shared" si="309"/>
        <v>-108.03697717227368</v>
      </c>
      <c r="AA605" s="150">
        <f t="shared" si="310"/>
        <v>478630</v>
      </c>
      <c r="AB605" s="150">
        <f t="shared" si="311"/>
        <v>229086676900</v>
      </c>
      <c r="AD605" s="592">
        <f t="shared" si="312"/>
        <v>19.286745881814337</v>
      </c>
      <c r="AE605" s="593">
        <f t="shared" si="313"/>
        <v>-67.588373437493217</v>
      </c>
      <c r="AG605" s="592">
        <f t="shared" si="314"/>
        <v>0.42247795790176063</v>
      </c>
      <c r="AH605" s="593">
        <f t="shared" si="315"/>
        <v>-75.495011599976891</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5">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3.6379839596980181</v>
      </c>
      <c r="N606" s="585">
        <f t="shared" si="302"/>
        <v>-1.2923340162382895</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-38.769023063953526</v>
      </c>
      <c r="X606" s="590">
        <f t="shared" si="308"/>
        <v>-307.41529000785903</v>
      </c>
      <c r="Y606" s="593">
        <f t="shared" si="309"/>
        <v>-127.41529000785903</v>
      </c>
      <c r="AA606" s="150">
        <f t="shared" si="310"/>
        <v>524810</v>
      </c>
      <c r="AB606" s="150">
        <f t="shared" si="311"/>
        <v>275425536100</v>
      </c>
      <c r="AD606" s="592">
        <f t="shared" si="312"/>
        <v>18.595693084520853</v>
      </c>
      <c r="AE606" s="593">
        <f t="shared" si="313"/>
        <v>-69.384144047341096</v>
      </c>
      <c r="AG606" s="592">
        <f t="shared" si="314"/>
        <v>0.79866840835683428</v>
      </c>
      <c r="AH606" s="593">
        <f t="shared" si="315"/>
        <v>-58.170738098602641</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5">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3.9635184843100499</v>
      </c>
      <c r="N607" s="585">
        <f t="shared" si="302"/>
        <v>-1.3157387930960349</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-40.761833128192123</v>
      </c>
      <c r="X607" s="590">
        <f t="shared" si="308"/>
        <v>-328.23256940890877</v>
      </c>
      <c r="Y607" s="593">
        <f t="shared" si="309"/>
        <v>-148.23256940890877</v>
      </c>
      <c r="AA607" s="150">
        <f t="shared" si="310"/>
        <v>575440</v>
      </c>
      <c r="AB607" s="150">
        <f t="shared" si="311"/>
        <v>331131193600</v>
      </c>
      <c r="AD607" s="592">
        <f t="shared" si="312"/>
        <v>17.888510358934901</v>
      </c>
      <c r="AE607" s="593">
        <f t="shared" si="313"/>
        <v>-71.060482689137473</v>
      </c>
      <c r="AG607" s="592">
        <f t="shared" si="314"/>
        <v>2.1029742157013236</v>
      </c>
      <c r="AH607" s="593">
        <f t="shared" si="315"/>
        <v>-38.851112886455226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5">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4.3225950760869907</v>
      </c>
      <c r="N608" s="585">
        <f t="shared" si="302"/>
        <v>-1.3373389239174105</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-44.773506332226837</v>
      </c>
      <c r="X608" s="590">
        <f t="shared" si="308"/>
        <v>-355.35776783833427</v>
      </c>
      <c r="Y608" s="593">
        <f t="shared" si="309"/>
        <v>-175.35776783833427</v>
      </c>
      <c r="AA608" s="150">
        <f t="shared" si="310"/>
        <v>630960</v>
      </c>
      <c r="AB608" s="150">
        <f t="shared" si="311"/>
        <v>398110521600</v>
      </c>
      <c r="AD608" s="592">
        <f t="shared" si="312"/>
        <v>17.167189523716445</v>
      </c>
      <c r="AE608" s="593">
        <f t="shared" si="313"/>
        <v>-72.62015908377316</v>
      </c>
      <c r="AG608" s="592">
        <f t="shared" si="314"/>
        <v>5.453334166135094</v>
      </c>
      <c r="AH608" s="593">
        <f t="shared" si="315"/>
        <v>-12.671224939322487</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5">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4.7182201433389173</v>
      </c>
      <c r="N609" s="585">
        <f t="shared" si="302"/>
        <v>-1.3572322676598878</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-63.041732168181277</v>
      </c>
      <c r="X609" s="590">
        <f t="shared" si="308"/>
        <v>-395.37566691871297</v>
      </c>
      <c r="Y609" s="593">
        <f t="shared" si="309"/>
        <v>-215.37566691871297</v>
      </c>
      <c r="AA609" s="150">
        <f t="shared" si="310"/>
        <v>691830</v>
      </c>
      <c r="AB609" s="150">
        <f t="shared" si="311"/>
        <v>478628748900</v>
      </c>
      <c r="AD609" s="592">
        <f t="shared" si="312"/>
        <v>16.433808127488739</v>
      </c>
      <c r="AE609" s="593">
        <f t="shared" si="313"/>
        <v>-74.066596163650985</v>
      </c>
      <c r="AG609" s="592">
        <f t="shared" si="314"/>
        <v>23.090665247623733</v>
      </c>
      <c r="AH609" s="593">
        <f t="shared" si="315"/>
        <v>26.946290562878062</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5">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5.1538628493836063</v>
      </c>
      <c r="N610" s="585">
        <f t="shared" si="302"/>
        <v>-1.3755285577586926</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-48.716203198427792</v>
      </c>
      <c r="X610" s="590">
        <f t="shared" si="308"/>
        <v>-260.94195442940907</v>
      </c>
      <c r="Y610" s="593">
        <f t="shared" si="309"/>
        <v>-80.941954429409066</v>
      </c>
      <c r="AA610" s="150">
        <f t="shared" si="310"/>
        <v>758580</v>
      </c>
      <c r="AB610" s="150">
        <f t="shared" si="311"/>
        <v>575443616400</v>
      </c>
      <c r="AD610" s="592">
        <f t="shared" si="312"/>
        <v>15.689933061058882</v>
      </c>
      <c r="AE610" s="593">
        <f t="shared" si="313"/>
        <v>-75.404801654260027</v>
      </c>
      <c r="AG610" s="592">
        <f t="shared" si="314"/>
        <v>8.1681710101236504</v>
      </c>
      <c r="AH610" s="593">
        <f t="shared" si="315"/>
        <v>-107.35436353395785</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5">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5.6331316091873163</v>
      </c>
      <c r="N611" s="585">
        <f t="shared" si="302"/>
        <v>-1.392329308006522</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-46.521816661859816</v>
      </c>
      <c r="X611" s="590">
        <f t="shared" si="308"/>
        <v>-295.86242194898733</v>
      </c>
      <c r="Y611" s="593">
        <f t="shared" si="309"/>
        <v>-115.86242194898733</v>
      </c>
      <c r="AA611" s="150">
        <f t="shared" si="310"/>
        <v>831760</v>
      </c>
      <c r="AB611" s="150">
        <f t="shared" si="311"/>
        <v>691824697600</v>
      </c>
      <c r="AD611" s="592">
        <f t="shared" si="312"/>
        <v>14.937269713483872</v>
      </c>
      <c r="AE611" s="593">
        <f t="shared" si="313"/>
        <v>-76.639805737207752</v>
      </c>
      <c r="AG611" s="592">
        <f t="shared" si="314"/>
        <v>5.4150324603721458</v>
      </c>
      <c r="AH611" s="593">
        <f t="shared" si="315"/>
        <v>-71.782789097913366</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5">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6.1602324707397846</v>
      </c>
      <c r="N612" s="585">
        <f t="shared" si="302"/>
        <v>-1.4077432540238506</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-47.860633901976854</v>
      </c>
      <c r="X612" s="590">
        <f t="shared" si="308"/>
        <v>-325.97953776667293</v>
      </c>
      <c r="Y612" s="593">
        <f t="shared" si="309"/>
        <v>-145.97953776667293</v>
      </c>
      <c r="AA612" s="150">
        <f t="shared" si="310"/>
        <v>912010</v>
      </c>
      <c r="AB612" s="150">
        <f t="shared" si="311"/>
        <v>831762240100</v>
      </c>
      <c r="AD612" s="592">
        <f t="shared" si="312"/>
        <v>14.176956283645154</v>
      </c>
      <c r="AE612" s="593">
        <f t="shared" si="313"/>
        <v>-77.777689946560542</v>
      </c>
      <c r="AG612" s="592">
        <f t="shared" si="314"/>
        <v>6.2377136617415276</v>
      </c>
      <c r="AH612" s="593">
        <f t="shared" si="315"/>
        <v>-40.515950869787083</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5">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6.7395775876158854</v>
      </c>
      <c r="N613" s="585">
        <f t="shared" si="302"/>
        <v>-1.4218691686388729</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-54.07373026396111</v>
      </c>
      <c r="X613" s="590">
        <f t="shared" si="308"/>
        <v>-367.85983955528957</v>
      </c>
      <c r="Y613" s="593">
        <f t="shared" si="309"/>
        <v>-187.85983955528957</v>
      </c>
      <c r="AA613" s="150">
        <f t="shared" si="310"/>
        <v>1000000</v>
      </c>
      <c r="AB613" s="150">
        <f t="shared" si="311"/>
        <v>1000000000000</v>
      </c>
      <c r="AD613" s="592">
        <f t="shared" si="312"/>
        <v>13.410262120479651</v>
      </c>
      <c r="AE613" s="593">
        <f t="shared" si="313"/>
        <v>-78.82423353298563</v>
      </c>
      <c r="AG613" s="592">
        <f t="shared" si="314"/>
        <v>11.982212912709292</v>
      </c>
      <c r="AH613" s="593">
        <f t="shared" si="315"/>
        <v>2.9883430551361077</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5">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5">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5">
      <c r="G616" s="150" t="s">
        <v>739</v>
      </c>
      <c r="M616" s="584"/>
      <c r="N616" s="585"/>
      <c r="W616" s="589"/>
      <c r="X616" s="590"/>
      <c r="Y616" s="601"/>
      <c r="AG616" s="592"/>
      <c r="AH616" s="593"/>
    </row>
    <row r="617" spans="7:44" x14ac:dyDescent="0.25">
      <c r="G617" s="602">
        <f>W4*1000</f>
        <v>28676</v>
      </c>
      <c r="H617" s="602"/>
      <c r="I617" s="603">
        <f t="shared" ref="I617:I626" si="329">SQRT(1+(G617/pole1)^2)</f>
        <v>27.99529126644131</v>
      </c>
      <c r="J617" s="595">
        <f t="shared" ref="J617:J626" si="330">ATAN(G617/pole1)</f>
        <v>1.535068433513576</v>
      </c>
      <c r="K617" s="595">
        <f t="shared" ref="K617:K626" si="331">SQRT(1+(G617/Zero1)^2)</f>
        <v>1.000120043243057</v>
      </c>
      <c r="L617" s="596">
        <f t="shared" ref="L617:L626" si="332">ATAN(G617/Zero1)</f>
        <v>1.549394950533106E-2</v>
      </c>
      <c r="M617" s="584">
        <v>1</v>
      </c>
      <c r="N617" s="585">
        <v>0</v>
      </c>
      <c r="O617" s="603">
        <f t="shared" ref="O617:O626" si="333">SQRT(1+(G617/Pole2)^2)</f>
        <v>51890.867048522014</v>
      </c>
      <c r="P617" s="604">
        <f t="shared" ref="P617:P626" si="334">ATAN(G617/Pole2)</f>
        <v>1.5707770555809637</v>
      </c>
      <c r="Q617" s="595">
        <f t="shared" ref="Q617:Q626" si="335">SQRT(1+(G617/Zero2)^2)</f>
        <v>21.644307702280631</v>
      </c>
      <c r="R617" s="596">
        <f t="shared" ref="R617:R626" si="336">ATAN(G617/Zero2)</f>
        <v>1.524578350253619</v>
      </c>
      <c r="S617" s="603">
        <f t="shared" ref="S617:S626" si="337">SQRT(1+(G617/pole4)^2)</f>
        <v>1.0103349511899729</v>
      </c>
      <c r="T617" s="604">
        <f t="shared" ref="T617:T626" si="338">ATAN(G617/pole4)</f>
        <v>0.1431552991144262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27.524197565827031</v>
      </c>
      <c r="AE617" s="593">
        <f>(R617-(P617+T617))*radconv</f>
        <v>-10.849185300811921</v>
      </c>
      <c r="AG617" s="592" t="e">
        <f>20*LOG10((K617*M617/(I617*U617))*Acs*Am)</f>
        <v>#DIV/0!</v>
      </c>
      <c r="AH617" s="593" t="e">
        <f>(L617+N617-(J617+V617))*radconv</f>
        <v>#DIV/0!</v>
      </c>
    </row>
    <row r="618" spans="7:44" x14ac:dyDescent="0.25">
      <c r="G618" s="602">
        <f>G617</f>
        <v>28676</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5">
      <c r="G619" s="150">
        <f>G618</f>
        <v>28676</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5">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5">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5">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5">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5">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5">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5">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8" thickBot="1" x14ac:dyDescent="0.3">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5">
      <c r="G628" s="175">
        <f>z_RHP</f>
        <v>150038.04799620897</v>
      </c>
      <c r="I628" s="603">
        <f>SQRT(1+(G628/pole1)^2)</f>
        <v>146.38639438122865</v>
      </c>
      <c r="J628" s="595">
        <f>ATAN(G628/pole1)</f>
        <v>1.5639650377121843</v>
      </c>
      <c r="K628" s="595">
        <f>SQRT(1+(G628/Zero1)^2)</f>
        <v>1.0032810855809631</v>
      </c>
      <c r="L628" s="596">
        <f>ATAN(G628/Zero1)</f>
        <v>8.0896716359745754E-2</v>
      </c>
      <c r="M628" s="584">
        <v>1</v>
      </c>
      <c r="N628" s="585">
        <v>0</v>
      </c>
      <c r="O628" s="603">
        <f>SQRT(1+(G628/Pole2)^2)</f>
        <v>271502.45499365835</v>
      </c>
      <c r="P628" s="604">
        <f>ATAN(G628/Pole2)</f>
        <v>1.570792643586949</v>
      </c>
      <c r="Q628" s="595">
        <f>SQRT(1+(G628/Zero2)^2)</f>
        <v>113.13044267645532</v>
      </c>
      <c r="R628" s="596">
        <f>ATAN(G628/Zero2)</f>
        <v>1.5619568579555476</v>
      </c>
      <c r="S628" s="583">
        <f>SQRT(1+(G628/pole4)^2)</f>
        <v>1.2525085417348256</v>
      </c>
      <c r="T628" s="586">
        <f>ATAN(G628/pole4)</f>
        <v>0.6461667934681784</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5">
      <c r="G629" s="175">
        <v>195034.73926858415</v>
      </c>
      <c r="W629" s="589">
        <v>-25</v>
      </c>
    </row>
    <row r="631" spans="7:34" x14ac:dyDescent="0.25">
      <c r="J631" s="150" t="s">
        <v>743</v>
      </c>
      <c r="K631" s="150" t="s">
        <v>744</v>
      </c>
    </row>
    <row r="632" spans="7:34" x14ac:dyDescent="0.25">
      <c r="G632" s="150" t="s">
        <v>728</v>
      </c>
      <c r="H632" s="150" t="s">
        <v>745</v>
      </c>
      <c r="I632" s="152">
        <f>pole1</f>
        <v>1024.9692232299162</v>
      </c>
      <c r="J632" s="152" t="e">
        <f>W622</f>
        <v>#DIV/0!</v>
      </c>
      <c r="K632" s="152" t="e">
        <f>AG622</f>
        <v>#DIV/0!</v>
      </c>
    </row>
    <row r="633" spans="7:34" x14ac:dyDescent="0.25">
      <c r="G633" s="150" t="s">
        <v>729</v>
      </c>
      <c r="H633" s="150" t="s">
        <v>746</v>
      </c>
      <c r="I633" s="152">
        <f>Zero1</f>
        <v>1850638.8752762375</v>
      </c>
      <c r="J633" s="152" t="e">
        <f>W623</f>
        <v>#DIV/0!</v>
      </c>
      <c r="K633" s="152" t="e">
        <f>AG623</f>
        <v>#DIV/0!</v>
      </c>
    </row>
    <row r="634" spans="7:34" x14ac:dyDescent="0.25">
      <c r="G634" s="150" t="s">
        <v>730</v>
      </c>
      <c r="H634" s="150" t="s">
        <v>747</v>
      </c>
      <c r="I634" s="152">
        <f>Pole2</f>
        <v>0.5526213308116541</v>
      </c>
      <c r="J634" s="152" t="e">
        <f>W624</f>
        <v>#DIV/0!</v>
      </c>
      <c r="K634" s="152" t="e">
        <f>AG624</f>
        <v>#DIV/0!</v>
      </c>
    </row>
    <row r="635" spans="7:34" x14ac:dyDescent="0.25">
      <c r="G635" s="150" t="s">
        <v>741</v>
      </c>
      <c r="H635" s="150" t="s">
        <v>748</v>
      </c>
      <c r="I635" s="152">
        <f>Zero2</f>
        <v>1326.2911939479698</v>
      </c>
      <c r="J635" s="152" t="e">
        <f>W625</f>
        <v>#DIV/0!</v>
      </c>
      <c r="K635" s="152" t="e">
        <f>AG625</f>
        <v>#DIV/0!</v>
      </c>
    </row>
    <row r="636" spans="7:34" x14ac:dyDescent="0.25">
      <c r="G636" s="150" t="s">
        <v>706</v>
      </c>
      <c r="H636" s="150" t="s">
        <v>749</v>
      </c>
      <c r="I636" s="150">
        <f>pole3</f>
        <v>0</v>
      </c>
      <c r="J636" s="152" t="e">
        <f>W626</f>
        <v>#DIV/0!</v>
      </c>
      <c r="K636" s="152" t="e">
        <f>AG626</f>
        <v>#DIV/0!</v>
      </c>
    </row>
    <row r="637" spans="7:34" x14ac:dyDescent="0.25">
      <c r="I637" s="175"/>
      <c r="J637" s="152"/>
      <c r="K637" s="152"/>
    </row>
    <row r="639" spans="7:34" x14ac:dyDescent="0.25">
      <c r="G639" s="152">
        <f>W4*1000</f>
        <v>28676</v>
      </c>
    </row>
    <row r="640" spans="7:34" x14ac:dyDescent="0.25">
      <c r="G640" s="152">
        <f>W4*1000</f>
        <v>28676</v>
      </c>
    </row>
    <row r="687" spans="36:37" x14ac:dyDescent="0.25">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G10:G12"/>
    <mergeCell ref="H10:H11"/>
    <mergeCell ref="I10:N10"/>
    <mergeCell ref="O10:T10"/>
    <mergeCell ref="U10:V10"/>
    <mergeCell ref="G2:J2"/>
    <mergeCell ref="K2:M2"/>
    <mergeCell ref="P2:R2"/>
    <mergeCell ref="S2:U2"/>
    <mergeCell ref="V2:X2"/>
    <mergeCell ref="W10:Y10"/>
    <mergeCell ref="AD10:AE10"/>
    <mergeCell ref="AG10:AH10"/>
    <mergeCell ref="I11:J11"/>
    <mergeCell ref="K11:L11"/>
    <mergeCell ref="M11:N11"/>
    <mergeCell ref="O11:P11"/>
    <mergeCell ref="Q11:R11"/>
    <mergeCell ref="S11:T11"/>
    <mergeCell ref="U11:V11"/>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137160</xdr:rowOff>
                  </from>
                  <to>
                    <xdr:col>1</xdr:col>
                    <xdr:colOff>403860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3.2" x14ac:dyDescent="0.25"/>
  <cols>
    <col min="1" max="1" width="2.6640625" customWidth="1"/>
    <col min="2" max="2" width="3.5546875" customWidth="1"/>
    <col min="3" max="3" width="2.6640625" customWidth="1"/>
    <col min="4" max="4" width="3.6640625" customWidth="1"/>
    <col min="5" max="5" width="6.33203125" customWidth="1"/>
    <col min="6" max="6" width="8.5546875" customWidth="1"/>
    <col min="7" max="8" width="7.6640625" customWidth="1"/>
    <col min="9" max="9" width="6.33203125" customWidth="1"/>
    <col min="10" max="10" width="9.5546875" customWidth="1"/>
    <col min="11" max="11" width="9.33203125" customWidth="1"/>
    <col min="12" max="12" width="1.6640625" customWidth="1"/>
    <col min="13" max="13" width="8.44140625" customWidth="1"/>
    <col min="14" max="15" width="9.5546875" customWidth="1"/>
    <col min="16" max="16" width="8.6640625" customWidth="1"/>
    <col min="17" max="18" width="8.5546875" customWidth="1"/>
    <col min="19" max="19" width="15.44140625" customWidth="1"/>
    <col min="20" max="20" width="10.44140625" customWidth="1"/>
    <col min="21" max="21" width="7.5546875" customWidth="1"/>
    <col min="22" max="22" width="9" customWidth="1"/>
    <col min="23" max="23" width="8.6640625" customWidth="1"/>
    <col min="24" max="24" width="10" customWidth="1"/>
    <col min="25" max="25" width="9.5546875" customWidth="1"/>
    <col min="26" max="26" width="1.6640625" customWidth="1"/>
    <col min="27" max="27" width="9.6640625" customWidth="1"/>
    <col min="28" max="28" width="10.44140625" customWidth="1"/>
    <col min="29" max="29" width="10.33203125" customWidth="1"/>
    <col min="30" max="30" width="2" customWidth="1"/>
    <col min="31" max="31" width="9.33203125" customWidth="1"/>
    <col min="32" max="32" width="9.44140625" customWidth="1"/>
    <col min="33" max="33" width="10.44140625" customWidth="1"/>
    <col min="34" max="34" width="2.33203125" customWidth="1"/>
    <col min="36" max="36" width="8" customWidth="1"/>
    <col min="38" max="38" width="2.33203125" customWidth="1"/>
    <col min="39" max="39" width="6.5546875" customWidth="1"/>
    <col min="40" max="40" width="7.5546875" customWidth="1"/>
    <col min="41" max="41" width="2" customWidth="1"/>
    <col min="42" max="42" width="6.44140625" customWidth="1"/>
    <col min="43" max="43" width="7.5546875" customWidth="1"/>
    <col min="44" max="44" width="2.33203125" customWidth="1"/>
    <col min="45" max="48" width="7" customWidth="1"/>
    <col min="49" max="50" width="8.44140625" customWidth="1"/>
    <col min="51" max="52" width="11" customWidth="1"/>
    <col min="53" max="53" width="9.44140625" customWidth="1"/>
    <col min="54" max="54" width="10.6640625" customWidth="1"/>
    <col min="55" max="55" width="9.6640625" customWidth="1"/>
    <col min="56" max="56" width="11.6640625" customWidth="1"/>
    <col min="57" max="57" width="2" customWidth="1"/>
    <col min="60" max="60" width="2.33203125" customWidth="1"/>
    <col min="61" max="61" width="9" customWidth="1"/>
    <col min="62" max="63" width="8.33203125" customWidth="1"/>
    <col min="64" max="64" width="8.6640625" customWidth="1"/>
    <col min="65" max="66" width="7.5546875" customWidth="1"/>
    <col min="67" max="67" width="10.5546875" customWidth="1"/>
    <col min="68" max="68" width="8.6640625" customWidth="1"/>
    <col min="69" max="70" width="10.33203125" customWidth="1"/>
    <col min="71" max="72" width="10.5546875" customWidth="1"/>
    <col min="73" max="73" width="8.6640625" customWidth="1"/>
    <col min="75" max="75" width="9.6640625" customWidth="1"/>
    <col min="76" max="76" width="11.5546875" customWidth="1"/>
    <col min="77" max="77" width="12.33203125" customWidth="1"/>
    <col min="78" max="78" width="9.33203125" customWidth="1"/>
    <col min="80" max="80" width="7.6640625" customWidth="1"/>
    <col min="81" max="81" width="10.44140625" customWidth="1"/>
    <col min="82" max="82" width="12.44140625" bestFit="1" customWidth="1"/>
    <col min="83" max="83" width="4.5546875" customWidth="1"/>
    <col min="84" max="84" width="5" customWidth="1"/>
    <col min="85" max="85" width="9.5546875" customWidth="1"/>
  </cols>
  <sheetData>
    <row r="1" spans="2:86" x14ac:dyDescent="0.25">
      <c r="B1" s="162" t="s">
        <v>526</v>
      </c>
      <c r="M1">
        <f>Vfwd2</f>
        <v>0.4</v>
      </c>
      <c r="BC1">
        <f>Ltc</f>
        <v>4.0000000000000001E-3</v>
      </c>
      <c r="BV1">
        <f>Ta</f>
        <v>55</v>
      </c>
    </row>
    <row r="2" spans="2:86" ht="13.8" thickBot="1" x14ac:dyDescent="0.3">
      <c r="M2">
        <f>Vfwd1</f>
        <v>0.32</v>
      </c>
      <c r="U2">
        <f>Isw_max</f>
        <v>0.75</v>
      </c>
    </row>
    <row r="3" spans="2:86" x14ac:dyDescent="0.25">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3">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5">
      <c r="E5" s="150">
        <v>0.1</v>
      </c>
      <c r="F5" s="191">
        <v>1.0000000000000001E-9</v>
      </c>
      <c r="G5" s="191"/>
      <c r="H5" s="191">
        <f t="shared" ref="H5:H36" si="0">F5*Vout</f>
        <v>1.5000000000000002E-8</v>
      </c>
      <c r="I5" s="472">
        <f t="shared" ref="I5:I36" si="1">Vin</f>
        <v>15</v>
      </c>
      <c r="J5" s="152">
        <f t="shared" ref="J5:J36" si="2">(T5+Vfwd1)*Nps</f>
        <v>15.32</v>
      </c>
      <c r="K5" s="386">
        <f t="shared" ref="K5:K36" si="3">(Vout+Vfwd1)*Nps+I5</f>
        <v>30.32</v>
      </c>
      <c r="L5" s="386"/>
      <c r="M5" s="190">
        <f t="shared" ref="M5:M36" si="4">(Vout+Vfwd1)*Nps/((Vout+Vfwd1)*Nps+I5)</f>
        <v>0.50527704485488123</v>
      </c>
      <c r="N5" s="152">
        <f t="shared" ref="N5:N36" si="5">M5*I5*Isw_max*0.5*Efficiency</f>
        <v>2.5579650395778364</v>
      </c>
      <c r="O5" s="152">
        <f>T5*F5</f>
        <v>1.5000000000000002E-8</v>
      </c>
      <c r="P5" s="191">
        <f t="shared" ref="P5:P36" si="6">N5/Vout</f>
        <v>0.17053100263852242</v>
      </c>
      <c r="Q5" s="191">
        <f t="shared" ref="Q5:Q36" si="7">MIN(Vout,N5/F5)</f>
        <v>15</v>
      </c>
      <c r="R5" s="191">
        <f t="shared" ref="R5:R36" si="8">Isw_max/2*I5*Nps*(Q5+Vfwd1)/Q5/(I5+Nps*(Q5+Vfwd1))</f>
        <v>0.18947889182058048</v>
      </c>
      <c r="S5" s="152">
        <f t="shared" ref="S5:S36" si="9">(SQRT(Isw_max^2*Nps^2*I5^2+4*Isw_max*F5/Efficiency*(Nps^2*Vfwd1*I5-Nps*I5^2)+4*(F5/Efficiency)^2*Nps^2*Vfwd1^2+8*(F5/Efficiency)^2*Nps*Vfwd1*I5+4*(F5/Efficiency)^2*I5^2)-2*F5/Efficiency*I5-2*F5/Efficiency*Nps*Vfwd1+Isw_max*Nps*I5)/(4*F5/Efficiency*Nps)</f>
        <v>5062499985.000001</v>
      </c>
      <c r="T5" s="152">
        <f t="shared" ref="T5:T36" si="10">MIN(Vout, S5)</f>
        <v>15</v>
      </c>
      <c r="U5" s="191">
        <f t="shared" ref="U5:U36" si="11">MIN(2*Vout*F5/(Efficiency*I5*M5), Isw_max)</f>
        <v>4.3980272700899344E-9</v>
      </c>
      <c r="V5" s="191">
        <f t="shared" ref="V5:V36" si="12">L*U5/I5*1000000</f>
        <v>1.3780485446281792E-8</v>
      </c>
      <c r="W5" s="191">
        <f t="shared" ref="W5:W36" si="13">L*U5/J5*1000000</f>
        <v>1.3492642408239353E-8</v>
      </c>
      <c r="X5" s="175">
        <f t="shared" ref="X5:X36" si="14">IF(1/((350000*L)*(1/I5+1/J5))&gt;Isw_min, 350, 0.001/((Isw_min*L)*(1/I5+1/J5)))</f>
        <v>350</v>
      </c>
      <c r="Y5" s="386">
        <f>MIN(1/(V5+W5)*1000, 350)</f>
        <v>350</v>
      </c>
      <c r="AA5" s="191">
        <f t="shared" ref="AA5:AA36" si="15">1/((X5*1000*L)*(1/I5+1/J5))</f>
        <v>0.46073894667618365</v>
      </c>
      <c r="AB5" s="153">
        <f t="shared" ref="AB5:AB36" si="16">L*AA5/J5*1000000</f>
        <v>1.4134941575574826</v>
      </c>
      <c r="AC5" s="153">
        <f t="shared" ref="AC5:AC36" si="17">0.5*AB5*AA5*Nps*X5/1000</f>
        <v>0.11396906662504547</v>
      </c>
      <c r="AD5" s="153"/>
      <c r="AE5" s="153">
        <f t="shared" ref="AE5:AE36" si="18">L*Isw_min/J5*1000000</f>
        <v>0.46018276762402083</v>
      </c>
      <c r="AF5" s="317">
        <f t="shared" ref="AF5:AF36" si="19">MAX(12, F5/(0.5*AE5/1000000*Isw_min*Nps)/1000)</f>
        <v>12</v>
      </c>
      <c r="AG5" s="463">
        <f t="shared" ref="AG5:AG36" si="20">0.5*AE5/1000000*Isw_min*Nps*X5*1000</f>
        <v>1.2079797650130546E-2</v>
      </c>
      <c r="AI5" s="153">
        <f t="shared" ref="AI5:AI36" si="21">SQRT(F5/Efficiency/(0.5*L/J5*Fsw_DCM*Nps))</f>
        <v>4.5492538848119768E-5</v>
      </c>
      <c r="AJ5" s="153">
        <f t="shared" ref="AJ5:AJ36" si="22">MAX(IF(F5&gt;AC5,U5,AI5),Isw_min)</f>
        <v>0.15</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0.47</v>
      </c>
      <c r="AU5" s="5">
        <f>AS5-AT5</f>
        <v>82.86333333333333</v>
      </c>
      <c r="AV5" s="5">
        <f t="shared" ref="AV5:AV36" si="29">L*AJ5/J5*1000000</f>
        <v>0.46018276762402083</v>
      </c>
      <c r="AW5" s="153">
        <f>AT5/AS5</f>
        <v>5.64E-3</v>
      </c>
      <c r="AX5" s="153">
        <f t="shared" ref="AX5:AX36" si="30">0.5*L*AJ5^2*AN5*1000</f>
        <v>6.3449999999999991E-3</v>
      </c>
      <c r="AY5" s="153">
        <f t="shared" ref="AY5:AY36" si="31">AJ5*Nps/2*(1-AW5)</f>
        <v>7.4577000000000004E-2</v>
      </c>
      <c r="AZ5" s="153">
        <f>AX5/AY5</f>
        <v>8.5079850356007861E-2</v>
      </c>
      <c r="BA5" s="147">
        <f t="shared" ref="BA5:BA36" si="32">L*Isw_max^2/(2*Vout_ripple*Vout)*1000000000*((1+M5)/2)^2</f>
        <v>3.3279803794703455</v>
      </c>
      <c r="BB5" s="147">
        <f t="shared" ref="BB5:BB36" si="33">L*F5^2/(2*Cout*Vout*Nps^2)*1000000000*((1+M5)/(1-M5))^2+F5*RCoutEsr</f>
        <v>3.0000014503918702E-9</v>
      </c>
      <c r="BC5" s="5">
        <f t="shared" ref="BC5:BC36" si="34">H5/Efficiency/I5*AU5/Vinripple1</f>
        <v>1.2276049382716048E-7</v>
      </c>
      <c r="BD5" s="147">
        <f t="shared" ref="BD5:BD36" si="35">((CB5/I5/Efficiency)*AU5/Cin+(CB5/I5/Efficiency)*RCinEsr)*1000</f>
        <v>9.2103703703703692E-6</v>
      </c>
      <c r="BE5" s="5"/>
      <c r="BF5" s="153">
        <f>AJ5*SQRT(AW5/3)</f>
        <v>6.5038450166036398E-3</v>
      </c>
      <c r="BG5" s="153">
        <f t="shared" ref="BG5:BG36" si="36">AJ5*Nps*SQRT((1-AW5)/3)</f>
        <v>8.6357975891054789E-2</v>
      </c>
      <c r="BH5" s="153"/>
      <c r="BI5" s="463">
        <f t="shared" ref="BI5:BI36" si="37">Rdson*BF5^2</f>
        <v>1.4804999999999998E-5</v>
      </c>
      <c r="BJ5" s="463">
        <f t="shared" ref="BJ5:BJ36" si="38">0.5*K5*AJ5*AN5*1000*Trise</f>
        <v>2.7288000000000003E-4</v>
      </c>
      <c r="BK5" s="463">
        <f t="shared" ref="BK5:BK36" si="39">Qg*Vdd*AN5*1000</f>
        <v>1.4999999999999999E-4</v>
      </c>
      <c r="BL5" s="463">
        <f t="shared" ref="BL5:BL36" si="40">0.5*(Coss+Csw)*K5^2*AN5*1000</f>
        <v>5.5158143999999997E-4</v>
      </c>
      <c r="BM5">
        <f t="shared" ref="BM5:BM36" si="41">I5*IQ</f>
        <v>4.3499999999999997E-3</v>
      </c>
      <c r="BN5">
        <f t="shared" ref="BN5:BN36" si="42">(I5-Vdd)*Qg*AN5</f>
        <v>2.9999999999999999E-7</v>
      </c>
      <c r="BO5" s="463">
        <f t="shared" ref="BO5:BO36" si="43">(BJ5+BK5+BL5+BM5+BN5+BI5*(1+RdsonTC*(Ta-25)))/(1-BI5*RdsonTC*ThetaJA)</f>
        <v>5.3415797056451508E-3</v>
      </c>
      <c r="BP5" s="147">
        <f>BO5*1000</f>
        <v>5.3415797056451506</v>
      </c>
      <c r="BQ5" s="463">
        <f t="shared" ref="BQ5:BQ36" si="44">(Vfwd2*F5+BG5^2*Rdiode)*(1+Diode_TC/1000*(Ta-25))</f>
        <v>5.6976831820000013E-3</v>
      </c>
      <c r="BR5" s="463"/>
      <c r="BT5" s="147">
        <f>SUM(BQ5:BS5)*1000</f>
        <v>5.6976831820000013</v>
      </c>
      <c r="BU5" s="463">
        <f t="shared" ref="BU5:BU36" si="45">Rdcr_pri*BF5^2</f>
        <v>4.2299999999999998E-5</v>
      </c>
      <c r="BV5" s="463">
        <f t="shared" ref="BV5:BV36" si="46">Rdcr_sec*BG5^2</f>
        <v>7.4577000000000003E-3</v>
      </c>
      <c r="BW5" s="463">
        <f t="shared" ref="BW5:BW36" si="47">AJ5^2.5*AN5^2.5*k_core</f>
        <v>0</v>
      </c>
      <c r="BX5" s="463">
        <f t="shared" ref="BX5:BX36" si="48">(BW5+(BU5+BV5)*(1+Ltc*(Ta-25)))/(1-(BU5+BV5)*Ltc*ThetaCa)</f>
        <v>8.4050430258154913E-3</v>
      </c>
      <c r="BY5" s="463">
        <f t="shared" ref="BY5:BY36" si="49">0.5*Lleak*0.000000001*AJ5^2*AN5*1000</f>
        <v>1.3500000000000003E-4</v>
      </c>
      <c r="BZ5" s="147">
        <f>1000*(BX5+BY5)</f>
        <v>8.5400430258154909</v>
      </c>
      <c r="CA5" s="153">
        <f>SUM(BO5,BQ5:BS5,BX5, BY5)</f>
        <v>1.9579305913460642E-2</v>
      </c>
      <c r="CB5" s="5">
        <f>MIN(H5,O5)</f>
        <v>1.5000000000000002E-8</v>
      </c>
      <c r="CC5" s="153">
        <f>CB5/(CB5+CA5)</f>
        <v>7.6611441562754156E-7</v>
      </c>
      <c r="CD5" s="5">
        <f>CC5*100</f>
        <v>7.661144156275415E-5</v>
      </c>
      <c r="CG5" s="59">
        <f t="shared" ref="CG5:CG36" si="50">IF(ABS(F5-Ioutmax_Vinnom)&lt;Iout/200, AN5, -50)</f>
        <v>-50</v>
      </c>
      <c r="CH5">
        <f t="shared" ref="CH5:CH36" si="51">IF(ABS(F5-Ioutmax_Vinnom)&lt;Iout/200, N5*CC5, -50)</f>
        <v>-50</v>
      </c>
    </row>
    <row r="6" spans="2:86" x14ac:dyDescent="0.25">
      <c r="E6" s="150">
        <v>1</v>
      </c>
      <c r="F6" s="191">
        <f t="shared" ref="F6:F37" si="52">IF(PLOT_TYPE=1, E6/100*Iout_max, min_I*EXP(N6*rr/100))</f>
        <v>1E-3</v>
      </c>
      <c r="G6" s="191"/>
      <c r="H6" s="191">
        <f t="shared" si="0"/>
        <v>1.4999999999999999E-2</v>
      </c>
      <c r="I6" s="472">
        <f t="shared" si="1"/>
        <v>15</v>
      </c>
      <c r="J6" s="152">
        <f t="shared" si="2"/>
        <v>15.32</v>
      </c>
      <c r="K6" s="386">
        <f t="shared" si="3"/>
        <v>30.32</v>
      </c>
      <c r="L6" s="386"/>
      <c r="M6" s="191">
        <f t="shared" si="4"/>
        <v>0.50527704485488123</v>
      </c>
      <c r="N6" s="152">
        <f t="shared" si="5"/>
        <v>2.5579650395778364</v>
      </c>
      <c r="O6" s="152">
        <f t="shared" ref="O6:O69" si="53">T6*F6</f>
        <v>1.4999999999999999E-2</v>
      </c>
      <c r="P6" s="191">
        <f t="shared" si="6"/>
        <v>0.17053100263852242</v>
      </c>
      <c r="Q6" s="191">
        <f t="shared" si="7"/>
        <v>15</v>
      </c>
      <c r="R6" s="191">
        <f t="shared" si="8"/>
        <v>0.18947889182058048</v>
      </c>
      <c r="S6" s="152">
        <f t="shared" si="9"/>
        <v>5047.5009509053598</v>
      </c>
      <c r="T6" s="152">
        <f t="shared" si="10"/>
        <v>15</v>
      </c>
      <c r="U6" s="191">
        <f t="shared" si="11"/>
        <v>4.3980272700899336E-3</v>
      </c>
      <c r="V6" s="191">
        <f t="shared" si="12"/>
        <v>1.3780485446281791E-2</v>
      </c>
      <c r="W6" s="191">
        <f t="shared" si="13"/>
        <v>1.3492642408239351E-2</v>
      </c>
      <c r="X6" s="175">
        <f t="shared" si="14"/>
        <v>350</v>
      </c>
      <c r="Y6" s="386">
        <f t="shared" ref="Y6:Y69" si="54">MIN(1/(V6+W6)*1000, 350)</f>
        <v>350</v>
      </c>
      <c r="AA6" s="191">
        <f t="shared" si="15"/>
        <v>0.46073894667618365</v>
      </c>
      <c r="AB6" s="153">
        <f t="shared" si="16"/>
        <v>1.4134941575574826</v>
      </c>
      <c r="AC6" s="153">
        <f t="shared" si="17"/>
        <v>0.11396906662504547</v>
      </c>
      <c r="AD6" s="153"/>
      <c r="AE6" s="153">
        <f t="shared" si="18"/>
        <v>0.46018276762402083</v>
      </c>
      <c r="AF6" s="317">
        <f t="shared" si="19"/>
        <v>28.973995271867622</v>
      </c>
      <c r="AG6" s="463">
        <f t="shared" si="20"/>
        <v>1.2079797650130546E-2</v>
      </c>
      <c r="AI6" s="153">
        <f t="shared" si="21"/>
        <v>4.5492538848119775E-2</v>
      </c>
      <c r="AJ6" s="153">
        <f t="shared" si="22"/>
        <v>0.15</v>
      </c>
      <c r="AK6" s="153">
        <f t="shared" si="23"/>
        <v>1.0165565687267815</v>
      </c>
      <c r="AM6" s="317">
        <f t="shared" si="24"/>
        <v>1</v>
      </c>
      <c r="AN6" s="147">
        <f t="shared" si="25"/>
        <v>28.973995271867622</v>
      </c>
      <c r="AP6">
        <f t="shared" si="26"/>
        <v>1</v>
      </c>
      <c r="AQ6" s="147">
        <f t="shared" si="27"/>
        <v>28.973995271867622</v>
      </c>
      <c r="AR6" s="147"/>
      <c r="AS6" s="5">
        <f t="shared" ref="AS6:AS69" si="55">1/AN6*1000</f>
        <v>34.513707571801554</v>
      </c>
      <c r="AT6" s="5">
        <f t="shared" si="28"/>
        <v>0.47</v>
      </c>
      <c r="AU6" s="5">
        <f t="shared" ref="AU6:AU69" si="56">AS6-AT6</f>
        <v>34.043707571801555</v>
      </c>
      <c r="AV6" s="5">
        <f t="shared" si="29"/>
        <v>0.46018276762402083</v>
      </c>
      <c r="AW6" s="153">
        <f t="shared" ref="AW6:AW69" si="57">AT6/AS6</f>
        <v>1.3617777777777782E-2</v>
      </c>
      <c r="AX6" s="153">
        <f t="shared" si="30"/>
        <v>1.5320000000000002E-2</v>
      </c>
      <c r="AY6" s="153">
        <f t="shared" si="31"/>
        <v>7.3978666666666665E-2</v>
      </c>
      <c r="AZ6" s="153">
        <f t="shared" ref="AZ6:AZ69" si="58">AX6/AY6</f>
        <v>0.20708672770528444</v>
      </c>
      <c r="BA6" s="147">
        <f t="shared" si="32"/>
        <v>3.3279803794703455</v>
      </c>
      <c r="BB6" s="147">
        <f t="shared" si="33"/>
        <v>4.4503918696296284E-3</v>
      </c>
      <c r="BC6" s="5">
        <f t="shared" si="34"/>
        <v>5.04351223285949E-2</v>
      </c>
      <c r="BD6" s="147">
        <f t="shared" si="35"/>
        <v>3.7859675079779507</v>
      </c>
      <c r="BE6" s="5"/>
      <c r="BF6" s="153">
        <f t="shared" ref="BF6:BF69" si="59">AJ6*SQRT(AW6/3)</f>
        <v>1.0106103766206508E-2</v>
      </c>
      <c r="BG6" s="153">
        <f t="shared" si="36"/>
        <v>8.601085202848921E-2</v>
      </c>
      <c r="BH6" s="153"/>
      <c r="BI6" s="463">
        <f t="shared" si="37"/>
        <v>3.5746666666666675E-5</v>
      </c>
      <c r="BJ6" s="463">
        <f t="shared" si="38"/>
        <v>6.5886865248226967E-4</v>
      </c>
      <c r="BK6" s="463">
        <f t="shared" si="39"/>
        <v>3.6217494089834523E-4</v>
      </c>
      <c r="BL6" s="463">
        <f t="shared" si="40"/>
        <v>1.3317931695508278E-3</v>
      </c>
      <c r="BM6">
        <f t="shared" si="41"/>
        <v>4.3499999999999997E-3</v>
      </c>
      <c r="BN6">
        <f t="shared" si="42"/>
        <v>7.2434988179669049E-7</v>
      </c>
      <c r="BO6" s="463">
        <f t="shared" si="43"/>
        <v>6.7441780590876913E-3</v>
      </c>
      <c r="BP6" s="147">
        <f t="shared" ref="BP6:BP69" si="60">BO6*1000</f>
        <v>6.744178059087691</v>
      </c>
      <c r="BQ6" s="463">
        <f t="shared" si="44"/>
        <v>6.0339701333333344E-3</v>
      </c>
      <c r="BR6" s="463"/>
      <c r="BT6" s="147">
        <f t="shared" ref="BT6:BT69" si="61">SUM(BQ6:BS6)*1000</f>
        <v>6.0339701333333347</v>
      </c>
      <c r="BU6" s="463">
        <f t="shared" si="45"/>
        <v>1.0213333333333337E-4</v>
      </c>
      <c r="BV6" s="463">
        <f t="shared" si="46"/>
        <v>7.3978666666666667E-3</v>
      </c>
      <c r="BW6" s="463">
        <f t="shared" si="47"/>
        <v>0</v>
      </c>
      <c r="BX6" s="463">
        <f t="shared" si="48"/>
        <v>8.4050430258154913E-3</v>
      </c>
      <c r="BY6" s="463">
        <f t="shared" si="49"/>
        <v>3.259574468085108E-4</v>
      </c>
      <c r="BZ6" s="147">
        <f t="shared" ref="BZ6:BZ69" si="62">1000*(BX6+BY6)</f>
        <v>8.731000472624002</v>
      </c>
      <c r="CA6" s="153">
        <f t="shared" ref="CA6:CA69" si="63">SUM(BO6,BQ6:BS6,BX6, BY6)</f>
        <v>2.1509148665045028E-2</v>
      </c>
      <c r="CB6" s="5">
        <f t="shared" ref="CB6:CB69" si="64">MIN(H6,O6)</f>
        <v>1.4999999999999999E-2</v>
      </c>
      <c r="CC6" s="153">
        <f t="shared" ref="CC6:CC69" si="65">CB6/(CB6+CA6)</f>
        <v>0.41085592374717461</v>
      </c>
      <c r="CD6" s="5">
        <f t="shared" ref="CD6:CD69" si="66">CC6*100</f>
        <v>41.085592374717464</v>
      </c>
      <c r="CG6" s="59">
        <f t="shared" si="50"/>
        <v>-50</v>
      </c>
      <c r="CH6">
        <f t="shared" si="51"/>
        <v>-50</v>
      </c>
    </row>
    <row r="7" spans="2:86" x14ac:dyDescent="0.25">
      <c r="E7" s="150">
        <v>2</v>
      </c>
      <c r="F7" s="191">
        <f t="shared" si="52"/>
        <v>2E-3</v>
      </c>
      <c r="G7" s="191"/>
      <c r="H7" s="191">
        <f t="shared" si="0"/>
        <v>0.03</v>
      </c>
      <c r="I7" s="472">
        <f t="shared" si="1"/>
        <v>15</v>
      </c>
      <c r="J7" s="152">
        <f t="shared" si="2"/>
        <v>15.32</v>
      </c>
      <c r="K7" s="386">
        <f t="shared" si="3"/>
        <v>30.32</v>
      </c>
      <c r="L7" s="386"/>
      <c r="M7" s="191">
        <f t="shared" si="4"/>
        <v>0.50527704485488123</v>
      </c>
      <c r="N7" s="152">
        <f t="shared" si="5"/>
        <v>2.5579650395778364</v>
      </c>
      <c r="O7" s="152">
        <f t="shared" si="53"/>
        <v>0.03</v>
      </c>
      <c r="P7" s="191">
        <f t="shared" si="6"/>
        <v>0.17053100263852242</v>
      </c>
      <c r="Q7" s="191">
        <f t="shared" si="7"/>
        <v>15</v>
      </c>
      <c r="R7" s="191">
        <f t="shared" si="8"/>
        <v>0.18947889182058048</v>
      </c>
      <c r="S7" s="152">
        <f t="shared" si="9"/>
        <v>2516.2519073565854</v>
      </c>
      <c r="T7" s="152">
        <f t="shared" si="10"/>
        <v>15</v>
      </c>
      <c r="U7" s="191">
        <f t="shared" si="11"/>
        <v>8.7960545401798672E-3</v>
      </c>
      <c r="V7" s="191">
        <f t="shared" si="12"/>
        <v>2.7560970892563583E-2</v>
      </c>
      <c r="W7" s="191">
        <f t="shared" si="13"/>
        <v>2.6985284816478702E-2</v>
      </c>
      <c r="X7" s="175">
        <f t="shared" si="14"/>
        <v>350</v>
      </c>
      <c r="Y7" s="386">
        <f t="shared" si="54"/>
        <v>350</v>
      </c>
      <c r="AA7" s="191">
        <f t="shared" si="15"/>
        <v>0.46073894667618365</v>
      </c>
      <c r="AB7" s="153">
        <f t="shared" si="16"/>
        <v>1.4134941575574826</v>
      </c>
      <c r="AC7" s="153">
        <f t="shared" si="17"/>
        <v>0.11396906662504547</v>
      </c>
      <c r="AD7" s="153"/>
      <c r="AE7" s="153">
        <f t="shared" si="18"/>
        <v>0.46018276762402083</v>
      </c>
      <c r="AF7" s="317">
        <f t="shared" si="19"/>
        <v>57.947990543735244</v>
      </c>
      <c r="AG7" s="463">
        <f t="shared" si="20"/>
        <v>1.2079797650130546E-2</v>
      </c>
      <c r="AI7" s="153">
        <f t="shared" si="21"/>
        <v>6.4336165425795885E-2</v>
      </c>
      <c r="AJ7" s="153">
        <f t="shared" si="22"/>
        <v>0.15</v>
      </c>
      <c r="AK7" s="153">
        <f t="shared" si="23"/>
        <v>1.0331131374535629</v>
      </c>
      <c r="AM7" s="317">
        <f t="shared" si="24"/>
        <v>2</v>
      </c>
      <c r="AN7" s="147">
        <f t="shared" si="25"/>
        <v>57.947990543735244</v>
      </c>
      <c r="AP7">
        <f t="shared" si="26"/>
        <v>2</v>
      </c>
      <c r="AQ7" s="147">
        <f t="shared" si="27"/>
        <v>57.947990543735244</v>
      </c>
      <c r="AR7" s="147"/>
      <c r="AS7" s="5">
        <f t="shared" si="55"/>
        <v>17.256853785900777</v>
      </c>
      <c r="AT7" s="5">
        <f t="shared" si="28"/>
        <v>0.47</v>
      </c>
      <c r="AU7" s="5">
        <f t="shared" si="56"/>
        <v>16.786853785900778</v>
      </c>
      <c r="AV7" s="5">
        <f t="shared" si="29"/>
        <v>0.46018276762402083</v>
      </c>
      <c r="AW7" s="153">
        <f t="shared" si="57"/>
        <v>2.7235555555555565E-2</v>
      </c>
      <c r="AX7" s="153">
        <f t="shared" si="30"/>
        <v>3.0640000000000004E-2</v>
      </c>
      <c r="AY7" s="153">
        <f t="shared" si="31"/>
        <v>7.2957333333333332E-2</v>
      </c>
      <c r="AZ7" s="153">
        <f t="shared" si="58"/>
        <v>0.41997149018604485</v>
      </c>
      <c r="BA7" s="147">
        <f t="shared" si="32"/>
        <v>3.3279803794703455</v>
      </c>
      <c r="BB7" s="147">
        <f t="shared" si="33"/>
        <v>1.1801567478518515E-2</v>
      </c>
      <c r="BC7" s="5">
        <f t="shared" si="34"/>
        <v>4.9738826032298601E-2</v>
      </c>
      <c r="BD7" s="147">
        <f t="shared" si="35"/>
        <v>3.7370786190890617</v>
      </c>
      <c r="BE7" s="5"/>
      <c r="BF7" s="153">
        <f t="shared" si="59"/>
        <v>1.4292189008919057E-2</v>
      </c>
      <c r="BG7" s="153">
        <f t="shared" si="36"/>
        <v>8.5415065025634271E-2</v>
      </c>
      <c r="BH7" s="153"/>
      <c r="BI7" s="463">
        <f t="shared" si="37"/>
        <v>7.1493333333333335E-5</v>
      </c>
      <c r="BJ7" s="463">
        <f t="shared" si="38"/>
        <v>1.3177373049645393E-3</v>
      </c>
      <c r="BK7" s="463">
        <f t="shared" si="39"/>
        <v>7.2434988179669046E-4</v>
      </c>
      <c r="BL7" s="463">
        <f t="shared" si="40"/>
        <v>2.6635863391016555E-3</v>
      </c>
      <c r="BM7">
        <f t="shared" si="41"/>
        <v>4.3499999999999997E-3</v>
      </c>
      <c r="BN7">
        <f t="shared" si="42"/>
        <v>1.448699763593381E-6</v>
      </c>
      <c r="BO7" s="463">
        <f t="shared" si="43"/>
        <v>9.1383876990455224E-3</v>
      </c>
      <c r="BP7" s="147">
        <f t="shared" si="60"/>
        <v>9.1383876990455217</v>
      </c>
      <c r="BQ7" s="463">
        <f t="shared" si="44"/>
        <v>6.3379402666666656E-3</v>
      </c>
      <c r="BR7" s="463"/>
      <c r="BT7" s="147">
        <f t="shared" si="61"/>
        <v>6.3379402666666653</v>
      </c>
      <c r="BU7" s="463">
        <f t="shared" si="45"/>
        <v>2.0426666666666668E-4</v>
      </c>
      <c r="BV7" s="463">
        <f t="shared" si="46"/>
        <v>7.295733333333331E-3</v>
      </c>
      <c r="BW7" s="463">
        <f t="shared" si="47"/>
        <v>0</v>
      </c>
      <c r="BX7" s="463">
        <f t="shared" si="48"/>
        <v>8.4050430258154878E-3</v>
      </c>
      <c r="BY7" s="463">
        <f t="shared" si="49"/>
        <v>6.519148936170216E-4</v>
      </c>
      <c r="BZ7" s="147">
        <f t="shared" si="62"/>
        <v>9.0569579194325094</v>
      </c>
      <c r="CA7" s="153">
        <f t="shared" si="63"/>
        <v>2.4533285885144699E-2</v>
      </c>
      <c r="CB7" s="5">
        <f t="shared" si="64"/>
        <v>0.03</v>
      </c>
      <c r="CC7" s="153">
        <f t="shared" si="65"/>
        <v>0.55012272803778073</v>
      </c>
      <c r="CD7" s="5">
        <f t="shared" si="66"/>
        <v>55.012272803778075</v>
      </c>
      <c r="CG7" s="59">
        <f t="shared" si="50"/>
        <v>-50</v>
      </c>
      <c r="CH7">
        <f t="shared" si="51"/>
        <v>-50</v>
      </c>
    </row>
    <row r="8" spans="2:86" x14ac:dyDescent="0.25">
      <c r="E8" s="150">
        <v>3</v>
      </c>
      <c r="F8" s="191">
        <f t="shared" si="52"/>
        <v>3.0000000000000001E-3</v>
      </c>
      <c r="G8" s="191"/>
      <c r="H8" s="191">
        <f t="shared" si="0"/>
        <v>4.4999999999999998E-2</v>
      </c>
      <c r="I8" s="472">
        <f t="shared" si="1"/>
        <v>15</v>
      </c>
      <c r="J8" s="152">
        <f t="shared" si="2"/>
        <v>15.32</v>
      </c>
      <c r="K8" s="386">
        <f t="shared" si="3"/>
        <v>30.32</v>
      </c>
      <c r="L8" s="386"/>
      <c r="M8" s="191">
        <f t="shared" si="4"/>
        <v>0.50527704485488123</v>
      </c>
      <c r="N8" s="152">
        <f t="shared" si="5"/>
        <v>2.5579650395778364</v>
      </c>
      <c r="O8" s="152">
        <f t="shared" si="53"/>
        <v>4.4999999999999998E-2</v>
      </c>
      <c r="P8" s="191">
        <f t="shared" si="6"/>
        <v>0.17053100263852242</v>
      </c>
      <c r="Q8" s="191">
        <f t="shared" si="7"/>
        <v>15</v>
      </c>
      <c r="R8" s="191">
        <f t="shared" si="8"/>
        <v>0.18947889182058048</v>
      </c>
      <c r="S8" s="152">
        <f t="shared" si="9"/>
        <v>1672.5028694012306</v>
      </c>
      <c r="T8" s="152">
        <f t="shared" si="10"/>
        <v>15</v>
      </c>
      <c r="U8" s="191">
        <f t="shared" si="11"/>
        <v>1.3194081810269801E-2</v>
      </c>
      <c r="V8" s="191">
        <f t="shared" si="12"/>
        <v>4.1341456338845374E-2</v>
      </c>
      <c r="W8" s="191">
        <f t="shared" si="13"/>
        <v>4.0477927224718054E-2</v>
      </c>
      <c r="X8" s="175">
        <f t="shared" si="14"/>
        <v>350</v>
      </c>
      <c r="Y8" s="386">
        <f t="shared" si="54"/>
        <v>350</v>
      </c>
      <c r="AA8" s="191">
        <f t="shared" si="15"/>
        <v>0.46073894667618365</v>
      </c>
      <c r="AB8" s="153">
        <f t="shared" si="16"/>
        <v>1.4134941575574826</v>
      </c>
      <c r="AC8" s="153">
        <f t="shared" si="17"/>
        <v>0.11396906662504547</v>
      </c>
      <c r="AD8" s="153"/>
      <c r="AE8" s="153">
        <f t="shared" si="18"/>
        <v>0.46018276762402083</v>
      </c>
      <c r="AF8" s="317">
        <f t="shared" si="19"/>
        <v>86.921985815602866</v>
      </c>
      <c r="AG8" s="463">
        <f t="shared" si="20"/>
        <v>1.2079797650130546E-2</v>
      </c>
      <c r="AI8" s="153">
        <f t="shared" si="21"/>
        <v>7.8795388650244366E-2</v>
      </c>
      <c r="AJ8" s="153">
        <f t="shared" si="22"/>
        <v>0.15</v>
      </c>
      <c r="AK8" s="153">
        <f t="shared" si="23"/>
        <v>1.0496697061803446</v>
      </c>
      <c r="AM8" s="317">
        <f t="shared" si="24"/>
        <v>3</v>
      </c>
      <c r="AN8" s="147">
        <f t="shared" si="25"/>
        <v>86.921985815602866</v>
      </c>
      <c r="AP8">
        <f t="shared" si="26"/>
        <v>3</v>
      </c>
      <c r="AQ8" s="147">
        <f t="shared" si="27"/>
        <v>86.921985815602866</v>
      </c>
      <c r="AR8" s="147"/>
      <c r="AS8" s="5">
        <f t="shared" si="55"/>
        <v>11.504569190600519</v>
      </c>
      <c r="AT8" s="5">
        <f t="shared" si="28"/>
        <v>0.47</v>
      </c>
      <c r="AU8" s="5">
        <f t="shared" si="56"/>
        <v>11.034569190600518</v>
      </c>
      <c r="AV8" s="5">
        <f t="shared" si="29"/>
        <v>0.46018276762402083</v>
      </c>
      <c r="AW8" s="153">
        <f t="shared" si="57"/>
        <v>4.0853333333333346E-2</v>
      </c>
      <c r="AX8" s="153">
        <f t="shared" si="30"/>
        <v>4.5960000000000008E-2</v>
      </c>
      <c r="AY8" s="153">
        <f t="shared" si="31"/>
        <v>7.1936E-2</v>
      </c>
      <c r="AZ8" s="153">
        <f t="shared" si="58"/>
        <v>0.63890124555160155</v>
      </c>
      <c r="BA8" s="147">
        <f t="shared" si="32"/>
        <v>3.3279803794703455</v>
      </c>
      <c r="BB8" s="147">
        <f t="shared" si="33"/>
        <v>2.2053526826666663E-2</v>
      </c>
      <c r="BC8" s="5">
        <f t="shared" si="34"/>
        <v>4.9042529736002295E-2</v>
      </c>
      <c r="BD8" s="147">
        <f t="shared" si="35"/>
        <v>3.6881897302001723</v>
      </c>
      <c r="BE8" s="5"/>
      <c r="BF8" s="153">
        <f t="shared" si="59"/>
        <v>1.7504285189632852E-2</v>
      </c>
      <c r="BG8" s="153">
        <f t="shared" si="36"/>
        <v>8.4815092996470859E-2</v>
      </c>
      <c r="BH8" s="153"/>
      <c r="BI8" s="463">
        <f t="shared" si="37"/>
        <v>1.0724E-4</v>
      </c>
      <c r="BJ8" s="463">
        <f t="shared" si="38"/>
        <v>1.9766059574468095E-3</v>
      </c>
      <c r="BK8" s="463">
        <f t="shared" si="39"/>
        <v>1.0865248226950357E-3</v>
      </c>
      <c r="BL8" s="463">
        <f t="shared" si="40"/>
        <v>3.9953795086524833E-3</v>
      </c>
      <c r="BM8">
        <f t="shared" si="41"/>
        <v>4.3499999999999997E-3</v>
      </c>
      <c r="BN8">
        <f t="shared" si="42"/>
        <v>2.1730496453900716E-6</v>
      </c>
      <c r="BO8" s="463">
        <f t="shared" si="43"/>
        <v>1.1532628920498361E-2</v>
      </c>
      <c r="BP8" s="147">
        <f t="shared" si="60"/>
        <v>11.532628920498361</v>
      </c>
      <c r="BQ8" s="463">
        <f t="shared" si="44"/>
        <v>6.6419104000000019E-3</v>
      </c>
      <c r="BR8" s="463"/>
      <c r="BT8" s="147">
        <f t="shared" si="61"/>
        <v>6.6419104000000022</v>
      </c>
      <c r="BU8" s="463">
        <f t="shared" si="45"/>
        <v>3.0640000000000002E-4</v>
      </c>
      <c r="BV8" s="463">
        <f t="shared" si="46"/>
        <v>7.1936000000000005E-3</v>
      </c>
      <c r="BW8" s="463">
        <f t="shared" si="47"/>
        <v>0</v>
      </c>
      <c r="BX8" s="463">
        <f t="shared" si="48"/>
        <v>8.4050430258154913E-3</v>
      </c>
      <c r="BY8" s="463">
        <f t="shared" si="49"/>
        <v>9.7787234042553245E-4</v>
      </c>
      <c r="BZ8" s="147">
        <f t="shared" si="62"/>
        <v>9.3829153662410238</v>
      </c>
      <c r="CA8" s="153">
        <f t="shared" si="63"/>
        <v>2.755745468673939E-2</v>
      </c>
      <c r="CB8" s="5">
        <f t="shared" si="64"/>
        <v>4.4999999999999998E-2</v>
      </c>
      <c r="CC8" s="153">
        <f t="shared" si="65"/>
        <v>0.62019816150226958</v>
      </c>
      <c r="CD8" s="5">
        <f t="shared" si="66"/>
        <v>62.019816150226958</v>
      </c>
      <c r="CG8" s="59">
        <f t="shared" si="50"/>
        <v>-50</v>
      </c>
      <c r="CH8">
        <f t="shared" si="51"/>
        <v>-50</v>
      </c>
    </row>
    <row r="9" spans="2:86" x14ac:dyDescent="0.25">
      <c r="E9" s="150">
        <v>4</v>
      </c>
      <c r="F9" s="191">
        <f t="shared" si="52"/>
        <v>4.0000000000000001E-3</v>
      </c>
      <c r="G9" s="191"/>
      <c r="H9" s="191">
        <f t="shared" si="0"/>
        <v>0.06</v>
      </c>
      <c r="I9" s="472">
        <f t="shared" si="1"/>
        <v>15</v>
      </c>
      <c r="J9" s="152">
        <f t="shared" si="2"/>
        <v>15.32</v>
      </c>
      <c r="K9" s="386">
        <f t="shared" si="3"/>
        <v>30.32</v>
      </c>
      <c r="L9" s="386"/>
      <c r="M9" s="191">
        <f t="shared" si="4"/>
        <v>0.50527704485488123</v>
      </c>
      <c r="N9" s="152">
        <f t="shared" si="5"/>
        <v>2.5579650395778364</v>
      </c>
      <c r="O9" s="152">
        <f t="shared" si="53"/>
        <v>0.06</v>
      </c>
      <c r="P9" s="191">
        <f t="shared" si="6"/>
        <v>0.17053100263852242</v>
      </c>
      <c r="Q9" s="191">
        <f t="shared" si="7"/>
        <v>15</v>
      </c>
      <c r="R9" s="191">
        <f t="shared" si="8"/>
        <v>0.18947889182058048</v>
      </c>
      <c r="S9" s="152">
        <f t="shared" si="9"/>
        <v>1250.6288370873835</v>
      </c>
      <c r="T9" s="152">
        <f t="shared" si="10"/>
        <v>15</v>
      </c>
      <c r="U9" s="191">
        <f t="shared" si="11"/>
        <v>1.7592109080359734E-2</v>
      </c>
      <c r="V9" s="191">
        <f t="shared" si="12"/>
        <v>5.5121941785127165E-2</v>
      </c>
      <c r="W9" s="191">
        <f t="shared" si="13"/>
        <v>5.3970569632957405E-2</v>
      </c>
      <c r="X9" s="175">
        <f t="shared" si="14"/>
        <v>350</v>
      </c>
      <c r="Y9" s="386">
        <f t="shared" si="54"/>
        <v>350</v>
      </c>
      <c r="AA9" s="191">
        <f t="shared" si="15"/>
        <v>0.46073894667618365</v>
      </c>
      <c r="AB9" s="153">
        <f t="shared" si="16"/>
        <v>1.4134941575574826</v>
      </c>
      <c r="AC9" s="153">
        <f t="shared" si="17"/>
        <v>0.11396906662504547</v>
      </c>
      <c r="AD9" s="153"/>
      <c r="AE9" s="153">
        <f t="shared" si="18"/>
        <v>0.46018276762402083</v>
      </c>
      <c r="AF9" s="317">
        <f t="shared" si="19"/>
        <v>115.89598108747049</v>
      </c>
      <c r="AG9" s="463">
        <f t="shared" si="20"/>
        <v>1.2079797650130546E-2</v>
      </c>
      <c r="AI9" s="153">
        <f t="shared" si="21"/>
        <v>9.098507769623955E-2</v>
      </c>
      <c r="AJ9" s="153">
        <f t="shared" si="22"/>
        <v>0.15</v>
      </c>
      <c r="AK9" s="153">
        <f t="shared" si="23"/>
        <v>1.0662262749071261</v>
      </c>
      <c r="AM9" s="317">
        <f t="shared" si="24"/>
        <v>4</v>
      </c>
      <c r="AN9" s="147">
        <f t="shared" si="25"/>
        <v>115.89598108747049</v>
      </c>
      <c r="AP9">
        <f t="shared" si="26"/>
        <v>4</v>
      </c>
      <c r="AQ9" s="147">
        <f t="shared" si="27"/>
        <v>115.89598108747049</v>
      </c>
      <c r="AR9" s="147"/>
      <c r="AS9" s="5">
        <f t="shared" si="55"/>
        <v>8.6284268929503884</v>
      </c>
      <c r="AT9" s="5">
        <f t="shared" si="28"/>
        <v>0.47</v>
      </c>
      <c r="AU9" s="5">
        <f t="shared" si="56"/>
        <v>8.1584268929503878</v>
      </c>
      <c r="AV9" s="5">
        <f t="shared" si="29"/>
        <v>0.46018276762402083</v>
      </c>
      <c r="AW9" s="153">
        <f t="shared" si="57"/>
        <v>5.447111111111113E-2</v>
      </c>
      <c r="AX9" s="153">
        <f t="shared" si="30"/>
        <v>6.1280000000000008E-2</v>
      </c>
      <c r="AY9" s="153">
        <f t="shared" si="31"/>
        <v>7.0914666666666668E-2</v>
      </c>
      <c r="AZ9" s="153">
        <f t="shared" si="58"/>
        <v>0.86413717895686848</v>
      </c>
      <c r="BA9" s="147">
        <f t="shared" si="32"/>
        <v>3.3279803794703455</v>
      </c>
      <c r="BB9" s="147">
        <f t="shared" si="33"/>
        <v>3.5206269914074065E-2</v>
      </c>
      <c r="BC9" s="5">
        <f t="shared" si="34"/>
        <v>4.8346233439706003E-2</v>
      </c>
      <c r="BD9" s="147">
        <f t="shared" si="35"/>
        <v>3.6393008413112833</v>
      </c>
      <c r="BE9" s="5"/>
      <c r="BF9" s="153">
        <f t="shared" si="59"/>
        <v>2.0212207532413016E-2</v>
      </c>
      <c r="BG9" s="153">
        <f t="shared" si="36"/>
        <v>8.4210846490619398E-2</v>
      </c>
      <c r="BH9" s="153"/>
      <c r="BI9" s="463">
        <f t="shared" si="37"/>
        <v>1.429866666666667E-4</v>
      </c>
      <c r="BJ9" s="463">
        <f t="shared" si="38"/>
        <v>2.6354746099290787E-3</v>
      </c>
      <c r="BK9" s="463">
        <f t="shared" si="39"/>
        <v>1.4486997635933809E-3</v>
      </c>
      <c r="BL9" s="463">
        <f t="shared" si="40"/>
        <v>5.327172678203311E-3</v>
      </c>
      <c r="BM9">
        <f t="shared" si="41"/>
        <v>4.3499999999999997E-3</v>
      </c>
      <c r="BN9">
        <f t="shared" si="42"/>
        <v>2.8973995271867619E-6</v>
      </c>
      <c r="BO9" s="463">
        <f t="shared" si="43"/>
        <v>1.3926901724071083E-2</v>
      </c>
      <c r="BP9" s="147">
        <f t="shared" si="60"/>
        <v>13.926901724071083</v>
      </c>
      <c r="BQ9" s="463">
        <f t="shared" si="44"/>
        <v>6.945880533333333E-3</v>
      </c>
      <c r="BR9" s="463"/>
      <c r="BT9" s="147">
        <f t="shared" si="61"/>
        <v>6.9458805333333329</v>
      </c>
      <c r="BU9" s="463">
        <f t="shared" si="45"/>
        <v>4.0853333333333347E-4</v>
      </c>
      <c r="BV9" s="463">
        <f t="shared" si="46"/>
        <v>7.0914666666666657E-3</v>
      </c>
      <c r="BW9" s="463">
        <f t="shared" si="47"/>
        <v>0</v>
      </c>
      <c r="BX9" s="463">
        <f t="shared" si="48"/>
        <v>8.4050430258154896E-3</v>
      </c>
      <c r="BY9" s="463">
        <f t="shared" si="49"/>
        <v>1.3038297872340432E-3</v>
      </c>
      <c r="BZ9" s="147">
        <f t="shared" si="62"/>
        <v>9.708872813049533</v>
      </c>
      <c r="CA9" s="153">
        <f t="shared" si="63"/>
        <v>3.0581655070453951E-2</v>
      </c>
      <c r="CB9" s="5">
        <f t="shared" si="64"/>
        <v>0.06</v>
      </c>
      <c r="CC9" s="153">
        <f t="shared" si="65"/>
        <v>0.66238577726728776</v>
      </c>
      <c r="CD9" s="5">
        <f t="shared" si="66"/>
        <v>66.238577726728778</v>
      </c>
      <c r="CG9" s="59">
        <f t="shared" si="50"/>
        <v>-50</v>
      </c>
      <c r="CH9">
        <f t="shared" si="51"/>
        <v>-50</v>
      </c>
    </row>
    <row r="10" spans="2:86" x14ac:dyDescent="0.25">
      <c r="E10" s="150">
        <v>5</v>
      </c>
      <c r="F10" s="191">
        <f t="shared" si="52"/>
        <v>5.000000000000001E-3</v>
      </c>
      <c r="G10" s="191"/>
      <c r="H10" s="191">
        <f t="shared" si="0"/>
        <v>7.5000000000000011E-2</v>
      </c>
      <c r="I10" s="472">
        <f t="shared" si="1"/>
        <v>15</v>
      </c>
      <c r="J10" s="152">
        <f t="shared" si="2"/>
        <v>15.32</v>
      </c>
      <c r="K10" s="386">
        <f t="shared" si="3"/>
        <v>30.32</v>
      </c>
      <c r="L10" s="386"/>
      <c r="M10" s="191">
        <f t="shared" si="4"/>
        <v>0.50527704485488123</v>
      </c>
      <c r="N10" s="152">
        <f t="shared" si="5"/>
        <v>2.5579650395778364</v>
      </c>
      <c r="O10" s="152">
        <f t="shared" si="53"/>
        <v>7.5000000000000011E-2</v>
      </c>
      <c r="P10" s="191">
        <f t="shared" si="6"/>
        <v>0.17053100263852242</v>
      </c>
      <c r="Q10" s="191">
        <f t="shared" si="7"/>
        <v>15</v>
      </c>
      <c r="R10" s="191">
        <f t="shared" si="8"/>
        <v>0.18947889182058048</v>
      </c>
      <c r="S10" s="152">
        <f t="shared" si="9"/>
        <v>997.50481046366997</v>
      </c>
      <c r="T10" s="152">
        <f t="shared" si="10"/>
        <v>15</v>
      </c>
      <c r="U10" s="191">
        <f t="shared" si="11"/>
        <v>2.1990136350449673E-2</v>
      </c>
      <c r="V10" s="191">
        <f t="shared" si="12"/>
        <v>6.8902427231408964E-2</v>
      </c>
      <c r="W10" s="191">
        <f t="shared" si="13"/>
        <v>6.7463212041196777E-2</v>
      </c>
      <c r="X10" s="175">
        <f t="shared" si="14"/>
        <v>350</v>
      </c>
      <c r="Y10" s="386">
        <f t="shared" si="54"/>
        <v>350</v>
      </c>
      <c r="AA10" s="191">
        <f t="shared" si="15"/>
        <v>0.46073894667618365</v>
      </c>
      <c r="AB10" s="153">
        <f t="shared" si="16"/>
        <v>1.4134941575574826</v>
      </c>
      <c r="AC10" s="153">
        <f t="shared" si="17"/>
        <v>0.11396906662504547</v>
      </c>
      <c r="AD10" s="153"/>
      <c r="AE10" s="153">
        <f t="shared" si="18"/>
        <v>0.46018276762402083</v>
      </c>
      <c r="AF10" s="317">
        <f t="shared" si="19"/>
        <v>144.86997635933812</v>
      </c>
      <c r="AG10" s="463">
        <f t="shared" si="20"/>
        <v>1.2079797650130546E-2</v>
      </c>
      <c r="AI10" s="153">
        <f t="shared" si="21"/>
        <v>0.1017244093334458</v>
      </c>
      <c r="AJ10" s="153">
        <f t="shared" si="22"/>
        <v>0.15</v>
      </c>
      <c r="AK10" s="153">
        <f t="shared" si="23"/>
        <v>1.0827828436339075</v>
      </c>
      <c r="AM10" s="317">
        <f t="shared" si="24"/>
        <v>5.0000000000000009</v>
      </c>
      <c r="AN10" s="147">
        <f t="shared" si="25"/>
        <v>144.86997635933812</v>
      </c>
      <c r="AP10">
        <f t="shared" si="26"/>
        <v>5.0000000000000009</v>
      </c>
      <c r="AQ10" s="147">
        <f t="shared" si="27"/>
        <v>144.86997635933812</v>
      </c>
      <c r="AR10" s="147"/>
      <c r="AS10" s="5">
        <f t="shared" si="55"/>
        <v>6.9027415143603097</v>
      </c>
      <c r="AT10" s="5">
        <f t="shared" si="28"/>
        <v>0.47</v>
      </c>
      <c r="AU10" s="5">
        <f t="shared" si="56"/>
        <v>6.4327415143603099</v>
      </c>
      <c r="AV10" s="5">
        <f t="shared" si="29"/>
        <v>0.46018276762402083</v>
      </c>
      <c r="AW10" s="153">
        <f t="shared" si="57"/>
        <v>6.8088888888888921E-2</v>
      </c>
      <c r="AX10" s="153">
        <f t="shared" si="30"/>
        <v>7.6600000000000015E-2</v>
      </c>
      <c r="AY10" s="153">
        <f t="shared" si="31"/>
        <v>6.9893333333333335E-2</v>
      </c>
      <c r="AZ10" s="153">
        <f t="shared" si="58"/>
        <v>1.0959557420831745</v>
      </c>
      <c r="BA10" s="147">
        <f t="shared" si="32"/>
        <v>3.3279803794703455</v>
      </c>
      <c r="BB10" s="147">
        <f t="shared" si="33"/>
        <v>5.1259796740740729E-2</v>
      </c>
      <c r="BC10" s="5">
        <f t="shared" si="34"/>
        <v>4.7649937143409704E-2</v>
      </c>
      <c r="BD10" s="147">
        <f t="shared" si="35"/>
        <v>3.5904119524223952</v>
      </c>
      <c r="BE10" s="5"/>
      <c r="BF10" s="153">
        <f t="shared" si="59"/>
        <v>2.2597935008904394E-2</v>
      </c>
      <c r="BG10" s="153">
        <f t="shared" si="36"/>
        <v>8.3602232825046807E-2</v>
      </c>
      <c r="BH10" s="153"/>
      <c r="BI10" s="463">
        <f t="shared" si="37"/>
        <v>1.7873333333333339E-4</v>
      </c>
      <c r="BJ10" s="463">
        <f t="shared" si="38"/>
        <v>3.2943432624113491E-3</v>
      </c>
      <c r="BK10" s="463">
        <f t="shared" si="39"/>
        <v>1.8108747044917263E-3</v>
      </c>
      <c r="BL10" s="463">
        <f t="shared" si="40"/>
        <v>6.6589658477541405E-3</v>
      </c>
      <c r="BM10">
        <f t="shared" si="41"/>
        <v>4.3499999999999997E-3</v>
      </c>
      <c r="BN10">
        <f t="shared" si="42"/>
        <v>3.6217494089834528E-6</v>
      </c>
      <c r="BO10" s="463">
        <f t="shared" si="43"/>
        <v>1.6321206110388592E-2</v>
      </c>
      <c r="BP10" s="147">
        <f t="shared" si="60"/>
        <v>16.321206110388591</v>
      </c>
      <c r="BQ10" s="463">
        <f t="shared" si="44"/>
        <v>7.2498506666666676E-3</v>
      </c>
      <c r="BR10" s="463"/>
      <c r="BT10" s="147">
        <f t="shared" si="61"/>
        <v>7.249850666666668</v>
      </c>
      <c r="BU10" s="463">
        <f t="shared" si="45"/>
        <v>5.1066666666666686E-4</v>
      </c>
      <c r="BV10" s="463">
        <f t="shared" si="46"/>
        <v>6.9893333333333335E-3</v>
      </c>
      <c r="BW10" s="463">
        <f t="shared" si="47"/>
        <v>0</v>
      </c>
      <c r="BX10" s="463">
        <f t="shared" si="48"/>
        <v>8.4050430258154913E-3</v>
      </c>
      <c r="BY10" s="463">
        <f t="shared" si="49"/>
        <v>1.6297872340425542E-3</v>
      </c>
      <c r="BZ10" s="147">
        <f t="shared" si="62"/>
        <v>10.034830259858046</v>
      </c>
      <c r="CA10" s="153">
        <f t="shared" si="63"/>
        <v>3.3605887036913307E-2</v>
      </c>
      <c r="CB10" s="5">
        <f t="shared" si="64"/>
        <v>7.5000000000000011E-2</v>
      </c>
      <c r="CC10" s="153">
        <f t="shared" si="65"/>
        <v>0.69057030006585896</v>
      </c>
      <c r="CD10" s="5">
        <f t="shared" si="66"/>
        <v>69.05703000658589</v>
      </c>
      <c r="CG10" s="59">
        <f t="shared" si="50"/>
        <v>-50</v>
      </c>
      <c r="CH10">
        <f t="shared" si="51"/>
        <v>-50</v>
      </c>
    </row>
    <row r="11" spans="2:86" x14ac:dyDescent="0.25">
      <c r="E11" s="150">
        <v>6</v>
      </c>
      <c r="F11" s="191">
        <f t="shared" si="52"/>
        <v>6.0000000000000001E-3</v>
      </c>
      <c r="G11" s="191"/>
      <c r="H11" s="191">
        <f t="shared" si="0"/>
        <v>0.09</v>
      </c>
      <c r="I11" s="472">
        <f t="shared" si="1"/>
        <v>15</v>
      </c>
      <c r="J11" s="152">
        <f t="shared" si="2"/>
        <v>15.32</v>
      </c>
      <c r="K11" s="386">
        <f t="shared" si="3"/>
        <v>30.32</v>
      </c>
      <c r="L11" s="386"/>
      <c r="M11" s="191">
        <f t="shared" si="4"/>
        <v>0.50527704485488123</v>
      </c>
      <c r="N11" s="152">
        <f t="shared" si="5"/>
        <v>2.5579650395778364</v>
      </c>
      <c r="O11" s="152">
        <f t="shared" si="53"/>
        <v>0.09</v>
      </c>
      <c r="P11" s="191">
        <f t="shared" si="6"/>
        <v>0.17053100263852242</v>
      </c>
      <c r="Q11" s="191">
        <f t="shared" si="7"/>
        <v>15</v>
      </c>
      <c r="R11" s="191">
        <f t="shared" si="8"/>
        <v>0.18947889182058048</v>
      </c>
      <c r="S11" s="152">
        <f t="shared" si="9"/>
        <v>828.75578957926461</v>
      </c>
      <c r="T11" s="152">
        <f t="shared" si="10"/>
        <v>15</v>
      </c>
      <c r="U11" s="191">
        <f t="shared" si="11"/>
        <v>2.6388163620539602E-2</v>
      </c>
      <c r="V11" s="191">
        <f t="shared" si="12"/>
        <v>8.2682912677690748E-2</v>
      </c>
      <c r="W11" s="191">
        <f t="shared" si="13"/>
        <v>8.0955854449436107E-2</v>
      </c>
      <c r="X11" s="175">
        <f t="shared" si="14"/>
        <v>350</v>
      </c>
      <c r="Y11" s="386">
        <f t="shared" si="54"/>
        <v>350</v>
      </c>
      <c r="AA11" s="191">
        <f t="shared" si="15"/>
        <v>0.46073894667618365</v>
      </c>
      <c r="AB11" s="153">
        <f t="shared" si="16"/>
        <v>1.4134941575574826</v>
      </c>
      <c r="AC11" s="153">
        <f t="shared" si="17"/>
        <v>0.11396906662504547</v>
      </c>
      <c r="AD11" s="153"/>
      <c r="AE11" s="153">
        <f t="shared" si="18"/>
        <v>0.46018276762402083</v>
      </c>
      <c r="AF11" s="317">
        <f t="shared" si="19"/>
        <v>173.84397163120573</v>
      </c>
      <c r="AG11" s="463">
        <f t="shared" si="20"/>
        <v>1.2079797650130546E-2</v>
      </c>
      <c r="AI11" s="153">
        <f t="shared" si="21"/>
        <v>0.11143350728163463</v>
      </c>
      <c r="AJ11" s="153">
        <f t="shared" si="22"/>
        <v>0.15</v>
      </c>
      <c r="AK11" s="153">
        <f t="shared" si="23"/>
        <v>1.099339412360689</v>
      </c>
      <c r="AM11" s="317">
        <f t="shared" si="24"/>
        <v>6</v>
      </c>
      <c r="AN11" s="147">
        <f t="shared" si="25"/>
        <v>173.84397163120573</v>
      </c>
      <c r="AP11">
        <f t="shared" si="26"/>
        <v>6</v>
      </c>
      <c r="AQ11" s="147">
        <f t="shared" si="27"/>
        <v>173.84397163120573</v>
      </c>
      <c r="AR11" s="147"/>
      <c r="AS11" s="5">
        <f t="shared" si="55"/>
        <v>5.7522845953002593</v>
      </c>
      <c r="AT11" s="5">
        <f t="shared" si="28"/>
        <v>0.47</v>
      </c>
      <c r="AU11" s="5">
        <f t="shared" si="56"/>
        <v>5.2822845953002595</v>
      </c>
      <c r="AV11" s="5">
        <f t="shared" si="29"/>
        <v>0.46018276762402083</v>
      </c>
      <c r="AW11" s="153">
        <f t="shared" si="57"/>
        <v>8.1706666666666691E-2</v>
      </c>
      <c r="AX11" s="153">
        <f t="shared" si="30"/>
        <v>9.1920000000000016E-2</v>
      </c>
      <c r="AY11" s="153">
        <f t="shared" si="31"/>
        <v>6.8871999999999989E-2</v>
      </c>
      <c r="AZ11" s="153">
        <f t="shared" si="58"/>
        <v>1.3346497851086077</v>
      </c>
      <c r="BA11" s="147">
        <f t="shared" si="32"/>
        <v>3.3279803794703455</v>
      </c>
      <c r="BB11" s="147">
        <f t="shared" si="33"/>
        <v>7.0214107306666648E-2</v>
      </c>
      <c r="BC11" s="5">
        <f t="shared" si="34"/>
        <v>4.6953640847113419E-2</v>
      </c>
      <c r="BD11" s="147">
        <f t="shared" si="35"/>
        <v>3.5415230635335062</v>
      </c>
      <c r="BE11" s="5"/>
      <c r="BF11" s="153">
        <f t="shared" si="59"/>
        <v>2.4754797514825285E-2</v>
      </c>
      <c r="BG11" s="153">
        <f t="shared" si="36"/>
        <v>8.2989155918107751E-2</v>
      </c>
      <c r="BH11" s="153"/>
      <c r="BI11" s="463">
        <f t="shared" si="37"/>
        <v>2.1448000000000005E-4</v>
      </c>
      <c r="BJ11" s="463">
        <f t="shared" si="38"/>
        <v>3.9532119148936191E-3</v>
      </c>
      <c r="BK11" s="463">
        <f t="shared" si="39"/>
        <v>2.1730496453900715E-3</v>
      </c>
      <c r="BL11" s="463">
        <f t="shared" si="40"/>
        <v>7.9907590173049665E-3</v>
      </c>
      <c r="BM11">
        <f t="shared" si="41"/>
        <v>4.3499999999999997E-3</v>
      </c>
      <c r="BN11">
        <f t="shared" si="42"/>
        <v>4.3460992907801431E-6</v>
      </c>
      <c r="BO11" s="463">
        <f t="shared" si="43"/>
        <v>1.8715542080075791E-2</v>
      </c>
      <c r="BP11" s="147">
        <f t="shared" si="60"/>
        <v>18.715542080075792</v>
      </c>
      <c r="BQ11" s="463">
        <f t="shared" si="44"/>
        <v>7.5538207999999996E-3</v>
      </c>
      <c r="BR11" s="463"/>
      <c r="BT11" s="147">
        <f t="shared" si="61"/>
        <v>7.5538207999999996</v>
      </c>
      <c r="BU11" s="463">
        <f t="shared" si="45"/>
        <v>6.1280000000000015E-4</v>
      </c>
      <c r="BV11" s="463">
        <f t="shared" si="46"/>
        <v>6.8871999999999987E-3</v>
      </c>
      <c r="BW11" s="463">
        <f t="shared" si="47"/>
        <v>0</v>
      </c>
      <c r="BX11" s="463">
        <f t="shared" si="48"/>
        <v>8.4050430258154896E-3</v>
      </c>
      <c r="BY11" s="463">
        <f t="shared" si="49"/>
        <v>1.9557446808510649E-3</v>
      </c>
      <c r="BZ11" s="147">
        <f t="shared" si="62"/>
        <v>10.360787706666555</v>
      </c>
      <c r="CA11" s="153">
        <f t="shared" si="63"/>
        <v>3.6630150586742349E-2</v>
      </c>
      <c r="CB11" s="5">
        <f t="shared" si="64"/>
        <v>0.09</v>
      </c>
      <c r="CC11" s="153">
        <f t="shared" si="65"/>
        <v>0.71073120882336394</v>
      </c>
      <c r="CD11" s="5">
        <f t="shared" si="66"/>
        <v>71.073120882336397</v>
      </c>
      <c r="CG11" s="59">
        <f t="shared" si="50"/>
        <v>-50</v>
      </c>
      <c r="CH11">
        <f t="shared" si="51"/>
        <v>-50</v>
      </c>
    </row>
    <row r="12" spans="2:86" x14ac:dyDescent="0.25">
      <c r="E12" s="150">
        <v>7</v>
      </c>
      <c r="F12" s="191">
        <f t="shared" si="52"/>
        <v>7.000000000000001E-3</v>
      </c>
      <c r="G12" s="191"/>
      <c r="H12" s="191">
        <f t="shared" si="0"/>
        <v>0.10500000000000001</v>
      </c>
      <c r="I12" s="472">
        <f t="shared" si="1"/>
        <v>15</v>
      </c>
      <c r="J12" s="152">
        <f t="shared" si="2"/>
        <v>15.32</v>
      </c>
      <c r="K12" s="386">
        <f t="shared" si="3"/>
        <v>30.32</v>
      </c>
      <c r="L12" s="386"/>
      <c r="M12" s="191">
        <f t="shared" si="4"/>
        <v>0.50527704485488123</v>
      </c>
      <c r="N12" s="152">
        <f t="shared" si="5"/>
        <v>2.5579650395778364</v>
      </c>
      <c r="O12" s="152">
        <f t="shared" si="53"/>
        <v>0.10500000000000001</v>
      </c>
      <c r="P12" s="191">
        <f t="shared" si="6"/>
        <v>0.17053100263852242</v>
      </c>
      <c r="Q12" s="191">
        <f t="shared" si="7"/>
        <v>15</v>
      </c>
      <c r="R12" s="191">
        <f t="shared" si="8"/>
        <v>0.18947889182058048</v>
      </c>
      <c r="S12" s="152">
        <f t="shared" si="9"/>
        <v>708.22106019817886</v>
      </c>
      <c r="T12" s="152">
        <f t="shared" si="10"/>
        <v>15</v>
      </c>
      <c r="U12" s="191">
        <f t="shared" si="11"/>
        <v>3.078619089062954E-2</v>
      </c>
      <c r="V12" s="191">
        <f t="shared" si="12"/>
        <v>9.646339812397256E-2</v>
      </c>
      <c r="W12" s="191">
        <f t="shared" si="13"/>
        <v>9.4448496857675479E-2</v>
      </c>
      <c r="X12" s="175">
        <f t="shared" si="14"/>
        <v>350</v>
      </c>
      <c r="Y12" s="386">
        <f t="shared" si="54"/>
        <v>350</v>
      </c>
      <c r="AA12" s="191">
        <f t="shared" si="15"/>
        <v>0.46073894667618365</v>
      </c>
      <c r="AB12" s="153">
        <f t="shared" si="16"/>
        <v>1.4134941575574826</v>
      </c>
      <c r="AC12" s="153">
        <f t="shared" si="17"/>
        <v>0.11396906662504547</v>
      </c>
      <c r="AD12" s="153"/>
      <c r="AE12" s="153">
        <f t="shared" si="18"/>
        <v>0.46018276762402083</v>
      </c>
      <c r="AF12" s="317">
        <f t="shared" si="19"/>
        <v>202.81796690307337</v>
      </c>
      <c r="AG12" s="463">
        <f t="shared" si="20"/>
        <v>1.2079797650130546E-2</v>
      </c>
      <c r="AI12" s="153">
        <f t="shared" si="21"/>
        <v>0.12036194430106971</v>
      </c>
      <c r="AJ12" s="153">
        <f t="shared" si="22"/>
        <v>0.15</v>
      </c>
      <c r="AK12" s="153">
        <f t="shared" si="23"/>
        <v>1.1158959810874705</v>
      </c>
      <c r="AM12" s="317">
        <f t="shared" si="24"/>
        <v>7.0000000000000009</v>
      </c>
      <c r="AN12" s="147">
        <f t="shared" si="25"/>
        <v>202.81796690307337</v>
      </c>
      <c r="AP12">
        <f t="shared" si="26"/>
        <v>7.0000000000000009</v>
      </c>
      <c r="AQ12" s="147">
        <f t="shared" si="27"/>
        <v>202.81796690307337</v>
      </c>
      <c r="AR12" s="147"/>
      <c r="AS12" s="5">
        <f t="shared" si="55"/>
        <v>4.9305296531145073</v>
      </c>
      <c r="AT12" s="5">
        <f t="shared" si="28"/>
        <v>0.47</v>
      </c>
      <c r="AU12" s="5">
        <f t="shared" si="56"/>
        <v>4.4605296531145076</v>
      </c>
      <c r="AV12" s="5">
        <f t="shared" si="29"/>
        <v>0.46018276762402083</v>
      </c>
      <c r="AW12" s="153">
        <f t="shared" si="57"/>
        <v>9.5324444444444476E-2</v>
      </c>
      <c r="AX12" s="153">
        <f t="shared" si="30"/>
        <v>0.10724000000000003</v>
      </c>
      <c r="AY12" s="153">
        <f t="shared" si="31"/>
        <v>6.785066666666667E-2</v>
      </c>
      <c r="AZ12" s="153">
        <f t="shared" si="58"/>
        <v>1.5805297909133789</v>
      </c>
      <c r="BA12" s="147">
        <f t="shared" si="32"/>
        <v>3.3279803794703455</v>
      </c>
      <c r="BB12" s="147">
        <f t="shared" si="33"/>
        <v>9.2069201611851836E-2</v>
      </c>
      <c r="BC12" s="5">
        <f t="shared" si="34"/>
        <v>4.6257344550817113E-2</v>
      </c>
      <c r="BD12" s="147">
        <f t="shared" si="35"/>
        <v>3.4926341746446172</v>
      </c>
      <c r="BE12" s="5"/>
      <c r="BF12" s="153">
        <f t="shared" si="59"/>
        <v>2.6738237289195665E-2</v>
      </c>
      <c r="BG12" s="153">
        <f t="shared" si="36"/>
        <v>8.2371516112468554E-2</v>
      </c>
      <c r="BH12" s="153"/>
      <c r="BI12" s="463">
        <f t="shared" si="37"/>
        <v>2.5022666666666674E-4</v>
      </c>
      <c r="BJ12" s="463">
        <f t="shared" si="38"/>
        <v>4.6120805673758886E-3</v>
      </c>
      <c r="BK12" s="463">
        <f t="shared" si="39"/>
        <v>2.5352245862884171E-3</v>
      </c>
      <c r="BL12" s="463">
        <f t="shared" si="40"/>
        <v>9.322552186855796E-3</v>
      </c>
      <c r="BM12">
        <f t="shared" si="41"/>
        <v>4.3499999999999997E-3</v>
      </c>
      <c r="BN12">
        <f t="shared" si="42"/>
        <v>5.0704491725768344E-6</v>
      </c>
      <c r="BO12" s="463">
        <f t="shared" si="43"/>
        <v>2.1109909633757626E-2</v>
      </c>
      <c r="BP12" s="147">
        <f t="shared" si="60"/>
        <v>21.109909633757624</v>
      </c>
      <c r="BQ12" s="463">
        <f t="shared" si="44"/>
        <v>7.8577909333333359E-3</v>
      </c>
      <c r="BR12" s="463"/>
      <c r="BT12" s="147">
        <f t="shared" si="61"/>
        <v>7.8577909333333356</v>
      </c>
      <c r="BU12" s="463">
        <f t="shared" si="45"/>
        <v>7.1493333333333354E-4</v>
      </c>
      <c r="BV12" s="463">
        <f t="shared" si="46"/>
        <v>6.7850666666666665E-3</v>
      </c>
      <c r="BW12" s="463">
        <f t="shared" si="47"/>
        <v>0</v>
      </c>
      <c r="BX12" s="463">
        <f t="shared" si="48"/>
        <v>8.4050430258154913E-3</v>
      </c>
      <c r="BY12" s="463">
        <f t="shared" si="49"/>
        <v>2.2817021276595757E-3</v>
      </c>
      <c r="BZ12" s="147">
        <f t="shared" si="62"/>
        <v>10.686745153475067</v>
      </c>
      <c r="CA12" s="153">
        <f t="shared" si="63"/>
        <v>3.9654445720566027E-2</v>
      </c>
      <c r="CB12" s="5">
        <f t="shared" si="64"/>
        <v>0.10500000000000001</v>
      </c>
      <c r="CC12" s="153">
        <f t="shared" si="65"/>
        <v>0.72586777044400086</v>
      </c>
      <c r="CD12" s="5">
        <f t="shared" si="66"/>
        <v>72.58677704440008</v>
      </c>
      <c r="CG12" s="59">
        <f t="shared" si="50"/>
        <v>-50</v>
      </c>
      <c r="CH12">
        <f t="shared" si="51"/>
        <v>-50</v>
      </c>
    </row>
    <row r="13" spans="2:86" s="59" customFormat="1" x14ac:dyDescent="0.25">
      <c r="E13" s="150">
        <v>8</v>
      </c>
      <c r="F13" s="191">
        <f t="shared" si="52"/>
        <v>8.0000000000000002E-3</v>
      </c>
      <c r="G13" s="191"/>
      <c r="H13" s="191">
        <f t="shared" si="0"/>
        <v>0.12</v>
      </c>
      <c r="I13" s="472">
        <f t="shared" si="1"/>
        <v>15</v>
      </c>
      <c r="J13" s="152">
        <f t="shared" si="2"/>
        <v>15.32</v>
      </c>
      <c r="K13" s="386">
        <f t="shared" si="3"/>
        <v>30.32</v>
      </c>
      <c r="L13" s="386"/>
      <c r="M13" s="191">
        <f t="shared" si="4"/>
        <v>0.50527704485488123</v>
      </c>
      <c r="N13" s="152">
        <f t="shared" si="5"/>
        <v>2.5579650395778364</v>
      </c>
      <c r="O13" s="152">
        <f t="shared" si="53"/>
        <v>0.12</v>
      </c>
      <c r="P13" s="191">
        <f t="shared" si="6"/>
        <v>0.17053100263852242</v>
      </c>
      <c r="Q13" s="191">
        <f t="shared" si="7"/>
        <v>15</v>
      </c>
      <c r="R13" s="191">
        <f t="shared" si="8"/>
        <v>0.18947889182058048</v>
      </c>
      <c r="S13" s="152">
        <f t="shared" si="9"/>
        <v>617.82026522784554</v>
      </c>
      <c r="T13" s="152">
        <f t="shared" si="10"/>
        <v>15</v>
      </c>
      <c r="U13" s="191">
        <f t="shared" si="11"/>
        <v>3.5184218160719469E-2</v>
      </c>
      <c r="V13" s="191">
        <f t="shared" si="12"/>
        <v>0.11024388357025433</v>
      </c>
      <c r="W13" s="191">
        <f t="shared" si="13"/>
        <v>0.10794113926591481</v>
      </c>
      <c r="X13" s="175">
        <f t="shared" si="14"/>
        <v>350</v>
      </c>
      <c r="Y13" s="386">
        <f t="shared" si="54"/>
        <v>350</v>
      </c>
      <c r="AA13" s="191">
        <f t="shared" si="15"/>
        <v>0.46073894667618365</v>
      </c>
      <c r="AB13" s="153">
        <f t="shared" si="16"/>
        <v>1.4134941575574826</v>
      </c>
      <c r="AC13" s="469">
        <f t="shared" si="17"/>
        <v>0.11396906662504547</v>
      </c>
      <c r="AD13" s="469"/>
      <c r="AE13" s="153">
        <f t="shared" si="18"/>
        <v>0.46018276762402083</v>
      </c>
      <c r="AF13" s="317">
        <f t="shared" si="19"/>
        <v>231.79196217494098</v>
      </c>
      <c r="AG13" s="463">
        <f t="shared" si="20"/>
        <v>1.2079797650130546E-2</v>
      </c>
      <c r="AH13"/>
      <c r="AI13" s="153">
        <f t="shared" si="21"/>
        <v>0.12867233085159177</v>
      </c>
      <c r="AJ13" s="153">
        <f t="shared" si="22"/>
        <v>0.15</v>
      </c>
      <c r="AK13" s="153">
        <f t="shared" si="23"/>
        <v>1.1324525498142519</v>
      </c>
      <c r="AM13" s="317">
        <f t="shared" si="24"/>
        <v>8</v>
      </c>
      <c r="AN13" s="147">
        <f t="shared" si="25"/>
        <v>231.79196217494098</v>
      </c>
      <c r="AP13">
        <f t="shared" si="26"/>
        <v>8</v>
      </c>
      <c r="AQ13" s="147">
        <f t="shared" si="27"/>
        <v>231.79196217494098</v>
      </c>
      <c r="AR13" s="147"/>
      <c r="AS13" s="5">
        <f t="shared" si="55"/>
        <v>4.3142134464751942</v>
      </c>
      <c r="AT13" s="5">
        <f t="shared" si="28"/>
        <v>0.47</v>
      </c>
      <c r="AU13" s="5">
        <f t="shared" si="56"/>
        <v>3.8442134464751945</v>
      </c>
      <c r="AV13" s="5">
        <f t="shared" si="29"/>
        <v>0.46018276762402083</v>
      </c>
      <c r="AW13" s="153">
        <f t="shared" si="57"/>
        <v>0.10894222222222226</v>
      </c>
      <c r="AX13" s="153">
        <f t="shared" si="30"/>
        <v>0.12256000000000002</v>
      </c>
      <c r="AY13" s="153">
        <f t="shared" si="31"/>
        <v>6.6829333333333324E-2</v>
      </c>
      <c r="AZ13" s="153">
        <f t="shared" si="58"/>
        <v>1.8339252224572049</v>
      </c>
      <c r="BA13" s="147">
        <f t="shared" si="32"/>
        <v>3.3279803794703455</v>
      </c>
      <c r="BB13" s="147">
        <f t="shared" si="33"/>
        <v>0.11682507965629624</v>
      </c>
      <c r="BC13" s="5">
        <f t="shared" si="34"/>
        <v>4.5561048254520821E-2</v>
      </c>
      <c r="BD13" s="147">
        <f t="shared" si="35"/>
        <v>3.4437452857557282</v>
      </c>
      <c r="BE13" s="5"/>
      <c r="BF13" s="153">
        <f t="shared" si="59"/>
        <v>2.8584378017838113E-2</v>
      </c>
      <c r="BG13" s="153">
        <f t="shared" si="36"/>
        <v>8.1749209985989058E-2</v>
      </c>
      <c r="BH13" s="153"/>
      <c r="BI13" s="463">
        <f t="shared" si="37"/>
        <v>2.8597333333333334E-4</v>
      </c>
      <c r="BJ13" s="463">
        <f t="shared" si="38"/>
        <v>5.2709492198581573E-3</v>
      </c>
      <c r="BK13" s="463">
        <f t="shared" si="39"/>
        <v>2.8973995271867618E-3</v>
      </c>
      <c r="BL13" s="463">
        <f t="shared" si="40"/>
        <v>1.0654345356406622E-2</v>
      </c>
      <c r="BM13">
        <f t="shared" si="41"/>
        <v>4.3499999999999997E-3</v>
      </c>
      <c r="BN13">
        <f t="shared" si="42"/>
        <v>5.7947990543735239E-6</v>
      </c>
      <c r="BO13" s="463">
        <f t="shared" si="43"/>
        <v>2.3504308772059026E-2</v>
      </c>
      <c r="BP13" s="147">
        <f t="shared" si="60"/>
        <v>23.504308772059026</v>
      </c>
      <c r="BQ13" s="463">
        <f t="shared" si="44"/>
        <v>8.161761066666667E-3</v>
      </c>
      <c r="BR13" s="463"/>
      <c r="BT13" s="147">
        <f t="shared" si="61"/>
        <v>8.1617610666666671</v>
      </c>
      <c r="BU13" s="463">
        <f t="shared" si="45"/>
        <v>8.1706666666666672E-4</v>
      </c>
      <c r="BV13" s="463">
        <f t="shared" si="46"/>
        <v>6.6829333333333334E-3</v>
      </c>
      <c r="BW13" s="463">
        <f t="shared" si="47"/>
        <v>0</v>
      </c>
      <c r="BX13" s="463">
        <f t="shared" si="48"/>
        <v>8.4050430258154913E-3</v>
      </c>
      <c r="BY13" s="463">
        <f t="shared" si="49"/>
        <v>2.6076595744680864E-3</v>
      </c>
      <c r="BZ13" s="147">
        <f t="shared" si="62"/>
        <v>11.012702600283577</v>
      </c>
      <c r="CA13" s="153">
        <f t="shared" si="63"/>
        <v>4.267877243900927E-2</v>
      </c>
      <c r="CB13" s="5">
        <f t="shared" si="64"/>
        <v>0.12</v>
      </c>
      <c r="CC13" s="153">
        <f t="shared" si="65"/>
        <v>0.73765002157850568</v>
      </c>
      <c r="CD13" s="5">
        <f t="shared" si="66"/>
        <v>73.765002157850574</v>
      </c>
      <c r="CG13" s="59">
        <f t="shared" si="50"/>
        <v>-50</v>
      </c>
      <c r="CH13">
        <f t="shared" si="51"/>
        <v>-50</v>
      </c>
    </row>
    <row r="14" spans="2:86" x14ac:dyDescent="0.25">
      <c r="E14" s="150">
        <v>9</v>
      </c>
      <c r="F14" s="191">
        <f t="shared" si="52"/>
        <v>8.9999999999999993E-3</v>
      </c>
      <c r="G14" s="191"/>
      <c r="H14" s="191">
        <f t="shared" si="0"/>
        <v>0.13499999999999998</v>
      </c>
      <c r="I14" s="472">
        <f t="shared" si="1"/>
        <v>15</v>
      </c>
      <c r="J14" s="152">
        <f t="shared" si="2"/>
        <v>15.32</v>
      </c>
      <c r="K14" s="386">
        <f t="shared" si="3"/>
        <v>30.32</v>
      </c>
      <c r="L14" s="386"/>
      <c r="M14" s="191">
        <f t="shared" si="4"/>
        <v>0.50527704485488123</v>
      </c>
      <c r="N14" s="152">
        <f t="shared" si="5"/>
        <v>2.5579650395778364</v>
      </c>
      <c r="O14" s="152">
        <f t="shared" si="53"/>
        <v>0.13499999999999998</v>
      </c>
      <c r="P14" s="191">
        <f t="shared" si="6"/>
        <v>0.17053100263852242</v>
      </c>
      <c r="Q14" s="191">
        <f t="shared" si="7"/>
        <v>15</v>
      </c>
      <c r="R14" s="191">
        <f t="shared" si="8"/>
        <v>0.18947889182058048</v>
      </c>
      <c r="S14" s="152">
        <f t="shared" si="9"/>
        <v>547.50876186197991</v>
      </c>
      <c r="T14" s="152">
        <f t="shared" si="10"/>
        <v>15</v>
      </c>
      <c r="U14" s="191">
        <f t="shared" si="11"/>
        <v>3.9582245430809397E-2</v>
      </c>
      <c r="V14" s="191">
        <f t="shared" si="12"/>
        <v>0.12402436901653612</v>
      </c>
      <c r="W14" s="191">
        <f t="shared" si="13"/>
        <v>0.12143378167415415</v>
      </c>
      <c r="X14" s="175">
        <f t="shared" si="14"/>
        <v>350</v>
      </c>
      <c r="Y14" s="386">
        <f t="shared" si="54"/>
        <v>350</v>
      </c>
      <c r="AA14" s="191">
        <f t="shared" si="15"/>
        <v>0.46073894667618365</v>
      </c>
      <c r="AB14" s="153">
        <f t="shared" si="16"/>
        <v>1.4134941575574826</v>
      </c>
      <c r="AC14" s="153">
        <f t="shared" si="17"/>
        <v>0.11396906662504547</v>
      </c>
      <c r="AD14" s="153"/>
      <c r="AE14" s="153">
        <f t="shared" si="18"/>
        <v>0.46018276762402083</v>
      </c>
      <c r="AF14" s="317">
        <f t="shared" si="19"/>
        <v>260.76595744680856</v>
      </c>
      <c r="AG14" s="463">
        <f t="shared" si="20"/>
        <v>1.2079797650130546E-2</v>
      </c>
      <c r="AI14" s="153">
        <f t="shared" si="21"/>
        <v>0.1364776165443593</v>
      </c>
      <c r="AJ14" s="153">
        <f t="shared" si="22"/>
        <v>0.15</v>
      </c>
      <c r="AK14" s="153">
        <f t="shared" si="23"/>
        <v>1.1490091185410334</v>
      </c>
      <c r="AM14" s="317">
        <f t="shared" si="24"/>
        <v>9</v>
      </c>
      <c r="AN14" s="147">
        <f t="shared" si="25"/>
        <v>260.76595744680856</v>
      </c>
      <c r="AP14">
        <f t="shared" si="26"/>
        <v>9</v>
      </c>
      <c r="AQ14" s="147">
        <f t="shared" si="27"/>
        <v>260.76595744680856</v>
      </c>
      <c r="AR14" s="147"/>
      <c r="AS14" s="5">
        <f t="shared" si="55"/>
        <v>3.8348563968668401</v>
      </c>
      <c r="AT14" s="5">
        <f t="shared" si="28"/>
        <v>0.47</v>
      </c>
      <c r="AU14" s="5">
        <f t="shared" si="56"/>
        <v>3.3648563968668403</v>
      </c>
      <c r="AV14" s="5">
        <f t="shared" si="29"/>
        <v>0.46018276762402083</v>
      </c>
      <c r="AW14" s="153">
        <f t="shared" si="57"/>
        <v>0.12256000000000002</v>
      </c>
      <c r="AX14" s="153">
        <f t="shared" si="30"/>
        <v>0.13788</v>
      </c>
      <c r="AY14" s="153">
        <f t="shared" si="31"/>
        <v>6.5807999999999992E-2</v>
      </c>
      <c r="AZ14" s="153">
        <f t="shared" si="58"/>
        <v>2.0951859956236327</v>
      </c>
      <c r="BA14" s="147">
        <f t="shared" si="32"/>
        <v>3.3279803794703455</v>
      </c>
      <c r="BB14" s="147">
        <f t="shared" si="33"/>
        <v>0.14448174143999992</v>
      </c>
      <c r="BC14" s="5">
        <f t="shared" si="34"/>
        <v>4.4864751958224529E-2</v>
      </c>
      <c r="BD14" s="147">
        <f t="shared" si="35"/>
        <v>3.3948563968668397</v>
      </c>
      <c r="BE14" s="5"/>
      <c r="BF14" s="153">
        <f t="shared" si="59"/>
        <v>3.0318311298619522E-2</v>
      </c>
      <c r="BG14" s="153">
        <f t="shared" si="36"/>
        <v>8.1122130149546737E-2</v>
      </c>
      <c r="BH14" s="153"/>
      <c r="BI14" s="463">
        <f t="shared" si="37"/>
        <v>3.2172E-4</v>
      </c>
      <c r="BJ14" s="463">
        <f t="shared" si="38"/>
        <v>5.9298178723404277E-3</v>
      </c>
      <c r="BK14" s="463">
        <f t="shared" si="39"/>
        <v>3.2595744680851066E-3</v>
      </c>
      <c r="BL14" s="463">
        <f t="shared" si="40"/>
        <v>1.198613852595745E-2</v>
      </c>
      <c r="BM14">
        <f t="shared" si="41"/>
        <v>4.3499999999999997E-3</v>
      </c>
      <c r="BN14">
        <f t="shared" si="42"/>
        <v>6.5191489361702134E-6</v>
      </c>
      <c r="BO14" s="463">
        <f t="shared" si="43"/>
        <v>2.5898739495604964E-2</v>
      </c>
      <c r="BP14" s="147">
        <f t="shared" si="60"/>
        <v>25.898739495604964</v>
      </c>
      <c r="BQ14" s="463">
        <f t="shared" si="44"/>
        <v>8.4657311999999998E-3</v>
      </c>
      <c r="BR14" s="463"/>
      <c r="BT14" s="147">
        <f t="shared" si="61"/>
        <v>8.4657312000000005</v>
      </c>
      <c r="BU14" s="463">
        <f t="shared" si="45"/>
        <v>9.1920000000000012E-4</v>
      </c>
      <c r="BV14" s="463">
        <f t="shared" si="46"/>
        <v>6.5807999999999995E-3</v>
      </c>
      <c r="BW14" s="463">
        <f t="shared" si="47"/>
        <v>0</v>
      </c>
      <c r="BX14" s="463">
        <f t="shared" si="48"/>
        <v>8.4050430258154913E-3</v>
      </c>
      <c r="BY14" s="463">
        <f t="shared" si="49"/>
        <v>2.9336170212765963E-3</v>
      </c>
      <c r="BZ14" s="147">
        <f t="shared" si="62"/>
        <v>11.338660047092088</v>
      </c>
      <c r="CA14" s="153">
        <f t="shared" si="63"/>
        <v>4.5703130742697051E-2</v>
      </c>
      <c r="CB14" s="5">
        <f t="shared" si="64"/>
        <v>0.13499999999999998</v>
      </c>
      <c r="CC14" s="153">
        <f t="shared" si="65"/>
        <v>0.74708168832020028</v>
      </c>
      <c r="CD14" s="5">
        <f t="shared" si="66"/>
        <v>74.708168832020021</v>
      </c>
      <c r="CG14" s="59">
        <f t="shared" si="50"/>
        <v>-50</v>
      </c>
      <c r="CH14">
        <f t="shared" si="51"/>
        <v>-50</v>
      </c>
    </row>
    <row r="15" spans="2:86" x14ac:dyDescent="0.25">
      <c r="E15" s="150">
        <v>10</v>
      </c>
      <c r="F15" s="191">
        <f t="shared" si="52"/>
        <v>1.0000000000000002E-2</v>
      </c>
      <c r="G15" s="191"/>
      <c r="H15" s="191">
        <f t="shared" si="0"/>
        <v>0.15000000000000002</v>
      </c>
      <c r="I15" s="472">
        <f t="shared" si="1"/>
        <v>15</v>
      </c>
      <c r="J15" s="152">
        <f t="shared" si="2"/>
        <v>15.32</v>
      </c>
      <c r="K15" s="386">
        <f t="shared" si="3"/>
        <v>30.32</v>
      </c>
      <c r="L15" s="386"/>
      <c r="M15" s="191">
        <f t="shared" si="4"/>
        <v>0.50527704485488123</v>
      </c>
      <c r="N15" s="152">
        <f t="shared" si="5"/>
        <v>2.5579650395778364</v>
      </c>
      <c r="O15" s="152">
        <f t="shared" si="53"/>
        <v>0.15000000000000002</v>
      </c>
      <c r="P15" s="191">
        <f t="shared" si="6"/>
        <v>0.17053100263852242</v>
      </c>
      <c r="Q15" s="191">
        <f t="shared" si="7"/>
        <v>15</v>
      </c>
      <c r="R15" s="191">
        <f t="shared" si="8"/>
        <v>0.18947889182058048</v>
      </c>
      <c r="S15" s="152">
        <f t="shared" si="9"/>
        <v>491.25976443773163</v>
      </c>
      <c r="T15" s="152">
        <f t="shared" si="10"/>
        <v>15</v>
      </c>
      <c r="U15" s="191">
        <f t="shared" si="11"/>
        <v>4.3980272700899346E-2</v>
      </c>
      <c r="V15" s="191">
        <f t="shared" si="12"/>
        <v>0.13780485446281793</v>
      </c>
      <c r="W15" s="191">
        <f t="shared" si="13"/>
        <v>0.13492642408239355</v>
      </c>
      <c r="X15" s="175">
        <f t="shared" si="14"/>
        <v>350</v>
      </c>
      <c r="Y15" s="386">
        <f t="shared" si="54"/>
        <v>350</v>
      </c>
      <c r="AA15" s="191">
        <f t="shared" si="15"/>
        <v>0.46073894667618365</v>
      </c>
      <c r="AB15" s="153">
        <f t="shared" si="16"/>
        <v>1.4134941575574826</v>
      </c>
      <c r="AC15" s="153">
        <f t="shared" si="17"/>
        <v>0.11396906662504547</v>
      </c>
      <c r="AD15" s="153"/>
      <c r="AE15" s="153">
        <f t="shared" si="18"/>
        <v>0.46018276762402083</v>
      </c>
      <c r="AF15" s="317">
        <f t="shared" si="19"/>
        <v>289.73995271867625</v>
      </c>
      <c r="AG15" s="463">
        <f t="shared" si="20"/>
        <v>1.2079797650130546E-2</v>
      </c>
      <c r="AI15" s="153">
        <f t="shared" si="21"/>
        <v>0.1438600393037513</v>
      </c>
      <c r="AJ15" s="153">
        <f t="shared" si="22"/>
        <v>0.15</v>
      </c>
      <c r="AK15" s="153">
        <f t="shared" si="23"/>
        <v>1.1655656872678151</v>
      </c>
      <c r="AM15" s="317">
        <f t="shared" si="24"/>
        <v>10.000000000000002</v>
      </c>
      <c r="AN15" s="147">
        <f t="shared" si="25"/>
        <v>289.73995271867625</v>
      </c>
      <c r="AP15">
        <f t="shared" si="26"/>
        <v>10.000000000000002</v>
      </c>
      <c r="AQ15" s="147">
        <f t="shared" si="27"/>
        <v>289.73995271867625</v>
      </c>
      <c r="AR15" s="147"/>
      <c r="AS15" s="5">
        <f t="shared" si="55"/>
        <v>3.4513707571801548</v>
      </c>
      <c r="AT15" s="5">
        <f t="shared" si="28"/>
        <v>0.47</v>
      </c>
      <c r="AU15" s="5">
        <f t="shared" si="56"/>
        <v>2.9813707571801551</v>
      </c>
      <c r="AV15" s="5">
        <f t="shared" si="29"/>
        <v>0.46018276762402083</v>
      </c>
      <c r="AW15" s="153">
        <f t="shared" si="57"/>
        <v>0.13617777777777784</v>
      </c>
      <c r="AX15" s="153">
        <f t="shared" si="30"/>
        <v>0.15320000000000003</v>
      </c>
      <c r="AY15" s="153">
        <f t="shared" si="31"/>
        <v>6.4786666666666659E-2</v>
      </c>
      <c r="AZ15" s="153">
        <f t="shared" si="58"/>
        <v>2.3646840913768274</v>
      </c>
      <c r="BA15" s="147">
        <f t="shared" si="32"/>
        <v>3.3279803794703455</v>
      </c>
      <c r="BB15" s="147">
        <f t="shared" si="33"/>
        <v>0.17503918696296292</v>
      </c>
      <c r="BC15" s="5">
        <f t="shared" si="34"/>
        <v>4.416845566192823E-2</v>
      </c>
      <c r="BD15" s="147">
        <f t="shared" si="35"/>
        <v>3.3459675079779507</v>
      </c>
      <c r="BE15" s="5"/>
      <c r="BF15" s="153">
        <f t="shared" si="59"/>
        <v>3.1958306171218365E-2</v>
      </c>
      <c r="BG15" s="153">
        <f t="shared" si="36"/>
        <v>8.0490165030683514E-2</v>
      </c>
      <c r="BH15" s="153"/>
      <c r="BI15" s="463">
        <f t="shared" si="37"/>
        <v>3.5746666666666677E-4</v>
      </c>
      <c r="BJ15" s="463">
        <f t="shared" si="38"/>
        <v>6.5886865248226982E-3</v>
      </c>
      <c r="BK15" s="463">
        <f t="shared" si="39"/>
        <v>3.6217494089834526E-3</v>
      </c>
      <c r="BL15" s="463">
        <f t="shared" si="40"/>
        <v>1.3317931695508281E-2</v>
      </c>
      <c r="BM15">
        <f t="shared" si="41"/>
        <v>4.3499999999999997E-3</v>
      </c>
      <c r="BN15">
        <f t="shared" si="42"/>
        <v>7.2434988179669055E-6</v>
      </c>
      <c r="BO15" s="463">
        <f t="shared" si="43"/>
        <v>2.8293201805020429E-2</v>
      </c>
      <c r="BP15" s="147">
        <f t="shared" si="60"/>
        <v>28.293201805020431</v>
      </c>
      <c r="BQ15" s="463">
        <f t="shared" si="44"/>
        <v>8.7697013333333344E-3</v>
      </c>
      <c r="BR15" s="463"/>
      <c r="BT15" s="147">
        <f t="shared" si="61"/>
        <v>8.7697013333333338</v>
      </c>
      <c r="BU15" s="463">
        <f t="shared" si="45"/>
        <v>1.0213333333333337E-3</v>
      </c>
      <c r="BV15" s="463">
        <f t="shared" si="46"/>
        <v>6.4786666666666673E-3</v>
      </c>
      <c r="BW15" s="463">
        <f t="shared" si="47"/>
        <v>0</v>
      </c>
      <c r="BX15" s="463">
        <f t="shared" si="48"/>
        <v>8.405043025815493E-3</v>
      </c>
      <c r="BY15" s="463">
        <f t="shared" si="49"/>
        <v>3.2595744680851083E-3</v>
      </c>
      <c r="BZ15" s="147">
        <f t="shared" si="62"/>
        <v>11.664617493900602</v>
      </c>
      <c r="CA15" s="153">
        <f t="shared" si="63"/>
        <v>4.8727520632254363E-2</v>
      </c>
      <c r="CB15" s="5">
        <f t="shared" si="64"/>
        <v>0.15000000000000002</v>
      </c>
      <c r="CC15" s="153">
        <f t="shared" si="65"/>
        <v>0.75480235209885838</v>
      </c>
      <c r="CD15" s="5">
        <f t="shared" si="66"/>
        <v>75.480235209885834</v>
      </c>
      <c r="CG15" s="59">
        <f t="shared" si="50"/>
        <v>-50</v>
      </c>
      <c r="CH15">
        <f t="shared" si="51"/>
        <v>-50</v>
      </c>
    </row>
    <row r="16" spans="2:86" x14ac:dyDescent="0.25">
      <c r="E16" s="150">
        <v>11</v>
      </c>
      <c r="F16" s="191">
        <f t="shared" si="52"/>
        <v>1.1000000000000001E-2</v>
      </c>
      <c r="G16" s="191"/>
      <c r="H16" s="191">
        <f t="shared" si="0"/>
        <v>0.16500000000000001</v>
      </c>
      <c r="I16" s="472">
        <f t="shared" si="1"/>
        <v>15</v>
      </c>
      <c r="J16" s="152">
        <f t="shared" si="2"/>
        <v>15.32</v>
      </c>
      <c r="K16" s="386">
        <f t="shared" si="3"/>
        <v>30.32</v>
      </c>
      <c r="L16" s="386"/>
      <c r="M16" s="191">
        <f t="shared" si="4"/>
        <v>0.50527704485488123</v>
      </c>
      <c r="N16" s="152">
        <f t="shared" si="5"/>
        <v>2.5579650395778364</v>
      </c>
      <c r="O16" s="152">
        <f t="shared" si="53"/>
        <v>0.16500000000000001</v>
      </c>
      <c r="P16" s="191">
        <f t="shared" si="6"/>
        <v>0.17053100263852242</v>
      </c>
      <c r="Q16" s="191">
        <f t="shared" si="7"/>
        <v>15</v>
      </c>
      <c r="R16" s="191">
        <f t="shared" si="8"/>
        <v>0.18947889182058048</v>
      </c>
      <c r="S16" s="152">
        <f t="shared" si="9"/>
        <v>445.23804573439475</v>
      </c>
      <c r="T16" s="152">
        <f t="shared" si="10"/>
        <v>15</v>
      </c>
      <c r="U16" s="191">
        <f t="shared" si="11"/>
        <v>4.8378299970989275E-2</v>
      </c>
      <c r="V16" s="191">
        <f t="shared" si="12"/>
        <v>0.15158533990909973</v>
      </c>
      <c r="W16" s="191">
        <f t="shared" si="13"/>
        <v>0.14841906649063288</v>
      </c>
      <c r="X16" s="175">
        <f t="shared" si="14"/>
        <v>350</v>
      </c>
      <c r="Y16" s="386">
        <f t="shared" si="54"/>
        <v>350</v>
      </c>
      <c r="AA16" s="191">
        <f t="shared" si="15"/>
        <v>0.46073894667618365</v>
      </c>
      <c r="AB16" s="153">
        <f t="shared" si="16"/>
        <v>1.4134941575574826</v>
      </c>
      <c r="AC16" s="153">
        <f t="shared" si="17"/>
        <v>0.11396906662504547</v>
      </c>
      <c r="AD16" s="153"/>
      <c r="AE16" s="153">
        <f t="shared" si="18"/>
        <v>0.46018276762402083</v>
      </c>
      <c r="AF16" s="317">
        <f t="shared" si="19"/>
        <v>318.71394799054383</v>
      </c>
      <c r="AG16" s="463">
        <f t="shared" si="20"/>
        <v>1.2079797650130546E-2</v>
      </c>
      <c r="AI16" s="153">
        <f t="shared" si="21"/>
        <v>0.15088168211988012</v>
      </c>
      <c r="AJ16" s="153">
        <f t="shared" si="22"/>
        <v>0.15088168211988012</v>
      </c>
      <c r="AK16" s="153">
        <f t="shared" si="23"/>
        <v>1.1821222559945965</v>
      </c>
      <c r="AM16" s="317">
        <f t="shared" si="24"/>
        <v>11.000000000000002</v>
      </c>
      <c r="AN16" s="147">
        <f t="shared" si="25"/>
        <v>318.71394799054383</v>
      </c>
      <c r="AP16">
        <f t="shared" si="26"/>
        <v>11.000000000000002</v>
      </c>
      <c r="AQ16" s="147">
        <f t="shared" si="27"/>
        <v>318.71394799054383</v>
      </c>
      <c r="AR16" s="147"/>
      <c r="AS16" s="5">
        <f t="shared" si="55"/>
        <v>3.1376097792546869</v>
      </c>
      <c r="AT16" s="5">
        <f t="shared" si="28"/>
        <v>0.47276260397562436</v>
      </c>
      <c r="AU16" s="5">
        <f t="shared" si="56"/>
        <v>2.6648471752790623</v>
      </c>
      <c r="AV16" s="5">
        <f t="shared" si="29"/>
        <v>0.4628876670779612</v>
      </c>
      <c r="AW16" s="153">
        <f t="shared" si="57"/>
        <v>0.15067603597536122</v>
      </c>
      <c r="AX16" s="153">
        <f t="shared" si="30"/>
        <v>0.17050690322338552</v>
      </c>
      <c r="AY16" s="153">
        <f t="shared" si="31"/>
        <v>6.4073714178381022E-2</v>
      </c>
      <c r="AZ16" s="153">
        <f t="shared" si="58"/>
        <v>2.6611053442086225</v>
      </c>
      <c r="BA16" s="147">
        <f t="shared" si="32"/>
        <v>3.3279803794703455</v>
      </c>
      <c r="BB16" s="147">
        <f t="shared" si="33"/>
        <v>0.20849741622518517</v>
      </c>
      <c r="BC16" s="5">
        <f t="shared" si="34"/>
        <v>4.3427139152695832E-2</v>
      </c>
      <c r="BD16" s="147">
        <f t="shared" si="35"/>
        <v>3.293702103118854</v>
      </c>
      <c r="BE16" s="5"/>
      <c r="BF16" s="153">
        <f t="shared" si="59"/>
        <v>3.3814111696743171E-2</v>
      </c>
      <c r="BG16" s="153">
        <f t="shared" si="36"/>
        <v>8.0280964015564504E-2</v>
      </c>
      <c r="BH16" s="153"/>
      <c r="BI16" s="463">
        <f t="shared" si="37"/>
        <v>4.0018795244393815E-4</v>
      </c>
      <c r="BJ16" s="463">
        <f t="shared" si="38"/>
        <v>7.2901554427227963E-3</v>
      </c>
      <c r="BK16" s="463">
        <f t="shared" si="39"/>
        <v>3.9839243498817978E-3</v>
      </c>
      <c r="BL16" s="463">
        <f t="shared" si="40"/>
        <v>1.4649724865059107E-2</v>
      </c>
      <c r="BM16">
        <f t="shared" si="41"/>
        <v>4.3499999999999997E-3</v>
      </c>
      <c r="BN16">
        <f t="shared" si="42"/>
        <v>7.9678486997635959E-6</v>
      </c>
      <c r="BO16" s="463">
        <f t="shared" si="43"/>
        <v>3.0738255381551921E-2</v>
      </c>
      <c r="BP16" s="147">
        <f t="shared" si="60"/>
        <v>30.738255381551919</v>
      </c>
      <c r="BQ16" s="463">
        <f t="shared" si="44"/>
        <v>9.1260053520170296E-3</v>
      </c>
      <c r="BR16" s="463"/>
      <c r="BT16" s="147">
        <f t="shared" si="61"/>
        <v>9.1260053520170299</v>
      </c>
      <c r="BU16" s="463">
        <f t="shared" si="45"/>
        <v>1.1433941498398233E-3</v>
      </c>
      <c r="BV16" s="463">
        <f t="shared" si="46"/>
        <v>6.4450331832683625E-3</v>
      </c>
      <c r="BW16" s="463">
        <f t="shared" si="47"/>
        <v>0</v>
      </c>
      <c r="BX16" s="463">
        <f t="shared" si="48"/>
        <v>8.504201294164921E-3</v>
      </c>
      <c r="BY16" s="463">
        <f t="shared" si="49"/>
        <v>3.6278064515613954E-3</v>
      </c>
      <c r="BZ16" s="147">
        <f t="shared" si="62"/>
        <v>12.132007745726316</v>
      </c>
      <c r="CA16" s="153">
        <f t="shared" si="63"/>
        <v>5.1996268479295268E-2</v>
      </c>
      <c r="CB16" s="5">
        <f t="shared" si="64"/>
        <v>0.16500000000000001</v>
      </c>
      <c r="CC16" s="153">
        <f t="shared" si="65"/>
        <v>0.76038173907927598</v>
      </c>
      <c r="CD16" s="5">
        <f t="shared" si="66"/>
        <v>76.0381739079276</v>
      </c>
      <c r="CG16" s="59">
        <f t="shared" si="50"/>
        <v>-50</v>
      </c>
      <c r="CH16">
        <f t="shared" si="51"/>
        <v>-50</v>
      </c>
    </row>
    <row r="17" spans="5:86" x14ac:dyDescent="0.25">
      <c r="E17" s="150">
        <v>12</v>
      </c>
      <c r="F17" s="191">
        <f t="shared" si="52"/>
        <v>1.2E-2</v>
      </c>
      <c r="G17" s="191"/>
      <c r="H17" s="191">
        <f t="shared" si="0"/>
        <v>0.18</v>
      </c>
      <c r="I17" s="472">
        <f t="shared" si="1"/>
        <v>15</v>
      </c>
      <c r="J17" s="152">
        <f t="shared" si="2"/>
        <v>15.32</v>
      </c>
      <c r="K17" s="386">
        <f t="shared" si="3"/>
        <v>30.32</v>
      </c>
      <c r="L17" s="386"/>
      <c r="M17" s="191">
        <f t="shared" si="4"/>
        <v>0.50527704485488123</v>
      </c>
      <c r="N17" s="152">
        <f t="shared" si="5"/>
        <v>2.5579650395778364</v>
      </c>
      <c r="O17" s="152">
        <f t="shared" si="53"/>
        <v>0.18</v>
      </c>
      <c r="P17" s="191">
        <f t="shared" si="6"/>
        <v>0.17053100263852242</v>
      </c>
      <c r="Q17" s="191">
        <f t="shared" si="7"/>
        <v>15</v>
      </c>
      <c r="R17" s="191">
        <f t="shared" si="8"/>
        <v>0.18947889182058048</v>
      </c>
      <c r="S17" s="152">
        <f t="shared" si="9"/>
        <v>406.88678762276544</v>
      </c>
      <c r="T17" s="152">
        <f t="shared" si="10"/>
        <v>15</v>
      </c>
      <c r="U17" s="191">
        <f t="shared" si="11"/>
        <v>5.2776327241079203E-2</v>
      </c>
      <c r="V17" s="191">
        <f t="shared" si="12"/>
        <v>0.1653658253553815</v>
      </c>
      <c r="W17" s="191">
        <f t="shared" si="13"/>
        <v>0.16191170889887221</v>
      </c>
      <c r="X17" s="175">
        <f t="shared" si="14"/>
        <v>350</v>
      </c>
      <c r="Y17" s="386">
        <f t="shared" si="54"/>
        <v>350</v>
      </c>
      <c r="AA17" s="191">
        <f t="shared" si="15"/>
        <v>0.46073894667618365</v>
      </c>
      <c r="AB17" s="153">
        <f t="shared" si="16"/>
        <v>1.4134941575574826</v>
      </c>
      <c r="AC17" s="153">
        <f t="shared" si="17"/>
        <v>0.11396906662504547</v>
      </c>
      <c r="AD17" s="153"/>
      <c r="AE17" s="153">
        <f t="shared" si="18"/>
        <v>0.46018276762402083</v>
      </c>
      <c r="AF17" s="317">
        <f t="shared" si="19"/>
        <v>347.68794326241147</v>
      </c>
      <c r="AG17" s="463">
        <f t="shared" si="20"/>
        <v>1.2079797650130546E-2</v>
      </c>
      <c r="AI17" s="153">
        <f t="shared" si="21"/>
        <v>0.15759077730048873</v>
      </c>
      <c r="AJ17" s="153">
        <f t="shared" si="22"/>
        <v>0.15759077730048873</v>
      </c>
      <c r="AK17" s="153">
        <f t="shared" si="23"/>
        <v>1.198678824721378</v>
      </c>
      <c r="AM17" s="317">
        <f t="shared" si="24"/>
        <v>12</v>
      </c>
      <c r="AN17" s="147">
        <f t="shared" si="25"/>
        <v>347.68794326241147</v>
      </c>
      <c r="AP17">
        <f t="shared" si="26"/>
        <v>12</v>
      </c>
      <c r="AQ17" s="147">
        <f t="shared" si="27"/>
        <v>347.68794326241147</v>
      </c>
      <c r="AR17" s="147"/>
      <c r="AS17" s="5">
        <f t="shared" si="55"/>
        <v>2.8761422976501296</v>
      </c>
      <c r="AT17" s="5">
        <f t="shared" si="28"/>
        <v>0.49378443554153134</v>
      </c>
      <c r="AU17" s="5">
        <f t="shared" si="56"/>
        <v>2.3823578621085981</v>
      </c>
      <c r="AV17" s="5">
        <f t="shared" si="29"/>
        <v>0.48347040033439748</v>
      </c>
      <c r="AW17" s="153">
        <f t="shared" si="57"/>
        <v>0.17168289480842583</v>
      </c>
      <c r="AX17" s="153">
        <f t="shared" si="30"/>
        <v>0.20291730631543398</v>
      </c>
      <c r="AY17" s="153">
        <f t="shared" si="31"/>
        <v>6.5267568229215436E-2</v>
      </c>
      <c r="AZ17" s="153">
        <f t="shared" si="58"/>
        <v>3.1090066907779015</v>
      </c>
      <c r="BA17" s="147">
        <f t="shared" si="32"/>
        <v>3.3279803794703455</v>
      </c>
      <c r="BB17" s="147">
        <f t="shared" si="33"/>
        <v>0.24485642922666659</v>
      </c>
      <c r="BC17" s="5">
        <f t="shared" si="34"/>
        <v>4.2353028659708407E-2</v>
      </c>
      <c r="BD17" s="147">
        <f t="shared" si="35"/>
        <v>3.2164771494781306</v>
      </c>
      <c r="BE17" s="5"/>
      <c r="BF17" s="153">
        <f t="shared" si="59"/>
        <v>3.7699334524023756E-2</v>
      </c>
      <c r="BG17" s="153">
        <f t="shared" si="36"/>
        <v>8.2807273471818252E-2</v>
      </c>
      <c r="BH17" s="153"/>
      <c r="BI17" s="463">
        <f t="shared" si="37"/>
        <v>4.9743393824398731E-4</v>
      </c>
      <c r="BJ17" s="463">
        <f t="shared" si="38"/>
        <v>8.3065298466885179E-3</v>
      </c>
      <c r="BK17" s="463">
        <f t="shared" si="39"/>
        <v>4.346099290780143E-3</v>
      </c>
      <c r="BL17" s="463">
        <f t="shared" si="40"/>
        <v>1.5981518034609933E-2</v>
      </c>
      <c r="BM17">
        <f t="shared" si="41"/>
        <v>4.3499999999999997E-3</v>
      </c>
      <c r="BN17">
        <f t="shared" si="42"/>
        <v>8.6921985815602863E-6</v>
      </c>
      <c r="BO17" s="463">
        <f t="shared" si="43"/>
        <v>3.3560506958501483E-2</v>
      </c>
      <c r="BP17" s="147">
        <f t="shared" si="60"/>
        <v>33.560506958501485</v>
      </c>
      <c r="BQ17" s="463">
        <f t="shared" si="44"/>
        <v>9.8227820284350828E-3</v>
      </c>
      <c r="BR17" s="463"/>
      <c r="BT17" s="147">
        <f t="shared" si="61"/>
        <v>9.822782028435082</v>
      </c>
      <c r="BU17" s="463">
        <f t="shared" si="45"/>
        <v>1.4212398235542495E-3</v>
      </c>
      <c r="BV17" s="463">
        <f t="shared" si="46"/>
        <v>6.8570445398364946E-3</v>
      </c>
      <c r="BW17" s="463">
        <f t="shared" si="47"/>
        <v>0</v>
      </c>
      <c r="BX17" s="463">
        <f t="shared" si="48"/>
        <v>9.2778228434593404E-3</v>
      </c>
      <c r="BY17" s="463">
        <f t="shared" si="49"/>
        <v>4.3173894960730642E-3</v>
      </c>
      <c r="BZ17" s="147">
        <f t="shared" si="62"/>
        <v>13.595212339532404</v>
      </c>
      <c r="CA17" s="153">
        <f t="shared" si="63"/>
        <v>5.6978501326468971E-2</v>
      </c>
      <c r="CB17" s="5">
        <f t="shared" si="64"/>
        <v>0.18</v>
      </c>
      <c r="CC17" s="153">
        <f t="shared" si="65"/>
        <v>0.75956257210026989</v>
      </c>
      <c r="CD17" s="5">
        <f t="shared" si="66"/>
        <v>75.95625721002699</v>
      </c>
      <c r="CG17" s="59">
        <f t="shared" si="50"/>
        <v>-50</v>
      </c>
      <c r="CH17">
        <f t="shared" si="51"/>
        <v>-50</v>
      </c>
    </row>
    <row r="18" spans="5:86" x14ac:dyDescent="0.25">
      <c r="E18" s="150">
        <v>13</v>
      </c>
      <c r="F18" s="191">
        <f t="shared" si="52"/>
        <v>1.3000000000000001E-2</v>
      </c>
      <c r="G18" s="191"/>
      <c r="H18" s="191">
        <f t="shared" si="0"/>
        <v>0.19500000000000001</v>
      </c>
      <c r="I18" s="472">
        <f t="shared" si="1"/>
        <v>15</v>
      </c>
      <c r="J18" s="152">
        <f t="shared" si="2"/>
        <v>15.32</v>
      </c>
      <c r="K18" s="386">
        <f t="shared" si="3"/>
        <v>30.32</v>
      </c>
      <c r="L18" s="386"/>
      <c r="M18" s="191">
        <f t="shared" si="4"/>
        <v>0.50527704485488123</v>
      </c>
      <c r="N18" s="152">
        <f t="shared" si="5"/>
        <v>2.5579650395778364</v>
      </c>
      <c r="O18" s="152">
        <f t="shared" si="53"/>
        <v>0.19500000000000001</v>
      </c>
      <c r="P18" s="191">
        <f t="shared" si="6"/>
        <v>0.17053100263852242</v>
      </c>
      <c r="Q18" s="191">
        <f t="shared" si="7"/>
        <v>15</v>
      </c>
      <c r="R18" s="191">
        <f t="shared" si="8"/>
        <v>0.18947889182058048</v>
      </c>
      <c r="S18" s="152">
        <f t="shared" si="9"/>
        <v>374.43588526095436</v>
      </c>
      <c r="T18" s="152">
        <f t="shared" si="10"/>
        <v>15</v>
      </c>
      <c r="U18" s="191">
        <f t="shared" si="11"/>
        <v>5.7174354511169138E-2</v>
      </c>
      <c r="V18" s="191">
        <f t="shared" si="12"/>
        <v>0.17914631080166332</v>
      </c>
      <c r="W18" s="191">
        <f t="shared" si="13"/>
        <v>0.1754043513071116</v>
      </c>
      <c r="X18" s="175">
        <f t="shared" si="14"/>
        <v>350</v>
      </c>
      <c r="Y18" s="386">
        <f t="shared" si="54"/>
        <v>350</v>
      </c>
      <c r="AA18" s="191">
        <f t="shared" si="15"/>
        <v>0.46073894667618365</v>
      </c>
      <c r="AB18" s="153">
        <f t="shared" si="16"/>
        <v>1.4134941575574826</v>
      </c>
      <c r="AC18" s="153">
        <f t="shared" si="17"/>
        <v>0.11396906662504547</v>
      </c>
      <c r="AD18" s="153"/>
      <c r="AE18" s="153">
        <f t="shared" si="18"/>
        <v>0.46018276762402083</v>
      </c>
      <c r="AF18" s="317">
        <f t="shared" si="19"/>
        <v>376.66193853427905</v>
      </c>
      <c r="AG18" s="463">
        <f t="shared" si="20"/>
        <v>1.2079797650130546E-2</v>
      </c>
      <c r="AI18" s="153">
        <f t="shared" si="21"/>
        <v>0.16402568146793331</v>
      </c>
      <c r="AJ18" s="153">
        <f t="shared" si="22"/>
        <v>0.16402568146793331</v>
      </c>
      <c r="AK18" s="153">
        <f t="shared" si="23"/>
        <v>1.2093504543119555</v>
      </c>
      <c r="AM18" s="317">
        <f t="shared" si="24"/>
        <v>13.000000000000002</v>
      </c>
      <c r="AN18" s="147">
        <f t="shared" si="25"/>
        <v>350</v>
      </c>
      <c r="AP18">
        <f t="shared" si="26"/>
        <v>13.000000000000002</v>
      </c>
      <c r="AQ18" s="147">
        <f t="shared" si="27"/>
        <v>350</v>
      </c>
      <c r="AR18" s="147"/>
      <c r="AS18" s="5">
        <f t="shared" si="55"/>
        <v>2.8571428571428572</v>
      </c>
      <c r="AT18" s="5">
        <f t="shared" si="28"/>
        <v>0.51394713526619107</v>
      </c>
      <c r="AU18" s="5">
        <f t="shared" si="56"/>
        <v>2.3431957218766661</v>
      </c>
      <c r="AV18" s="5">
        <f t="shared" si="29"/>
        <v>0.50321194706219741</v>
      </c>
      <c r="AW18" s="153">
        <f t="shared" si="57"/>
        <v>0.17988149734316686</v>
      </c>
      <c r="AX18" s="153">
        <f t="shared" si="30"/>
        <v>0.22128888888888884</v>
      </c>
      <c r="AY18" s="153">
        <f t="shared" si="31"/>
        <v>6.7260248141374074E-2</v>
      </c>
      <c r="AZ18" s="153">
        <f t="shared" si="58"/>
        <v>3.2900397337780038</v>
      </c>
      <c r="BA18" s="147">
        <f t="shared" si="32"/>
        <v>3.3279803794703455</v>
      </c>
      <c r="BB18" s="147">
        <f t="shared" si="33"/>
        <v>0.28411622596740738</v>
      </c>
      <c r="BC18" s="5">
        <f t="shared" si="34"/>
        <v>4.5128213902809876E-2</v>
      </c>
      <c r="BD18" s="147">
        <f t="shared" si="35"/>
        <v>3.4279493760440736</v>
      </c>
      <c r="BE18" s="5"/>
      <c r="BF18" s="153">
        <f t="shared" si="59"/>
        <v>4.0164694724088089E-2</v>
      </c>
      <c r="BG18" s="153">
        <f t="shared" si="36"/>
        <v>8.5760939193750177E-2</v>
      </c>
      <c r="BH18" s="153"/>
      <c r="BI18" s="463">
        <f t="shared" si="37"/>
        <v>5.6462094579771635E-4</v>
      </c>
      <c r="BJ18" s="463">
        <f t="shared" si="38"/>
        <v>8.7032026586885414E-3</v>
      </c>
      <c r="BK18" s="463">
        <f t="shared" si="39"/>
        <v>4.3749999999999995E-3</v>
      </c>
      <c r="BL18" s="463">
        <f t="shared" si="40"/>
        <v>1.6087792E-2</v>
      </c>
      <c r="BM18">
        <f t="shared" si="41"/>
        <v>4.3499999999999997E-3</v>
      </c>
      <c r="BN18">
        <f t="shared" si="42"/>
        <v>8.7499999999999992E-6</v>
      </c>
      <c r="BO18" s="463">
        <f t="shared" si="43"/>
        <v>3.4169148920038722E-2</v>
      </c>
      <c r="BP18" s="147">
        <f t="shared" si="60"/>
        <v>34.169148920038722</v>
      </c>
      <c r="BQ18" s="463">
        <f t="shared" si="44"/>
        <v>1.0585173160225106E-2</v>
      </c>
      <c r="BR18" s="463"/>
      <c r="BT18" s="147">
        <f t="shared" si="61"/>
        <v>10.585173160225105</v>
      </c>
      <c r="BU18" s="463">
        <f t="shared" si="45"/>
        <v>1.6132027022791897E-3</v>
      </c>
      <c r="BV18" s="463">
        <f t="shared" si="46"/>
        <v>7.3549386913941157E-3</v>
      </c>
      <c r="BW18" s="463">
        <f t="shared" si="47"/>
        <v>0</v>
      </c>
      <c r="BX18" s="463">
        <f t="shared" si="48"/>
        <v>1.0051529844183331E-2</v>
      </c>
      <c r="BY18" s="463">
        <f t="shared" si="49"/>
        <v>4.7082742316784864E-3</v>
      </c>
      <c r="BZ18" s="147">
        <f t="shared" si="62"/>
        <v>14.759804075861819</v>
      </c>
      <c r="CA18" s="153">
        <f t="shared" si="63"/>
        <v>5.9514126156125648E-2</v>
      </c>
      <c r="CB18" s="5">
        <f t="shared" si="64"/>
        <v>0.19500000000000001</v>
      </c>
      <c r="CC18" s="153">
        <f t="shared" si="65"/>
        <v>0.76616572504263225</v>
      </c>
      <c r="CD18" s="5">
        <f t="shared" si="66"/>
        <v>76.616572504263232</v>
      </c>
      <c r="CG18" s="59">
        <f t="shared" si="50"/>
        <v>-50</v>
      </c>
      <c r="CH18">
        <f t="shared" si="51"/>
        <v>-50</v>
      </c>
    </row>
    <row r="19" spans="5:86" x14ac:dyDescent="0.25">
      <c r="E19" s="150">
        <v>14</v>
      </c>
      <c r="F19" s="191">
        <f t="shared" si="52"/>
        <v>1.4000000000000002E-2</v>
      </c>
      <c r="G19" s="191"/>
      <c r="H19" s="191">
        <f t="shared" si="0"/>
        <v>0.21000000000000002</v>
      </c>
      <c r="I19" s="472">
        <f t="shared" si="1"/>
        <v>15</v>
      </c>
      <c r="J19" s="152">
        <f t="shared" si="2"/>
        <v>15.32</v>
      </c>
      <c r="K19" s="386">
        <f t="shared" si="3"/>
        <v>30.32</v>
      </c>
      <c r="L19" s="386"/>
      <c r="M19" s="191">
        <f t="shared" si="4"/>
        <v>0.50527704485488123</v>
      </c>
      <c r="N19" s="152">
        <f t="shared" si="5"/>
        <v>2.5579650395778364</v>
      </c>
      <c r="O19" s="152">
        <f t="shared" si="53"/>
        <v>0.21000000000000002</v>
      </c>
      <c r="P19" s="191">
        <f t="shared" si="6"/>
        <v>0.17053100263852242</v>
      </c>
      <c r="Q19" s="191">
        <f t="shared" si="7"/>
        <v>15</v>
      </c>
      <c r="R19" s="191">
        <f t="shared" si="8"/>
        <v>0.18947889182058048</v>
      </c>
      <c r="S19" s="152">
        <f t="shared" si="9"/>
        <v>346.62097806342717</v>
      </c>
      <c r="T19" s="152">
        <f t="shared" si="10"/>
        <v>15</v>
      </c>
      <c r="U19" s="191">
        <f t="shared" si="11"/>
        <v>6.1572381781259081E-2</v>
      </c>
      <c r="V19" s="191">
        <f t="shared" si="12"/>
        <v>0.19292679624794512</v>
      </c>
      <c r="W19" s="191">
        <f t="shared" si="13"/>
        <v>0.18889699371535096</v>
      </c>
      <c r="X19" s="175">
        <f t="shared" si="14"/>
        <v>350</v>
      </c>
      <c r="Y19" s="386">
        <f t="shared" si="54"/>
        <v>350</v>
      </c>
      <c r="AA19" s="191">
        <f t="shared" si="15"/>
        <v>0.46073894667618365</v>
      </c>
      <c r="AB19" s="153">
        <f t="shared" si="16"/>
        <v>1.4134941575574826</v>
      </c>
      <c r="AC19" s="153">
        <f t="shared" si="17"/>
        <v>0.11396906662504547</v>
      </c>
      <c r="AD19" s="153"/>
      <c r="AE19" s="153">
        <f t="shared" si="18"/>
        <v>0.46018276762402083</v>
      </c>
      <c r="AF19" s="317">
        <f t="shared" si="19"/>
        <v>405.63593380614674</v>
      </c>
      <c r="AG19" s="463">
        <f t="shared" si="20"/>
        <v>1.2079797650130546E-2</v>
      </c>
      <c r="AI19" s="153">
        <f t="shared" si="21"/>
        <v>0.17021749402416783</v>
      </c>
      <c r="AJ19" s="153">
        <f t="shared" si="22"/>
        <v>0.17021749402416783</v>
      </c>
      <c r="AK19" s="153">
        <f t="shared" si="23"/>
        <v>1.2134783293494451</v>
      </c>
      <c r="AM19" s="317">
        <f t="shared" si="24"/>
        <v>14.000000000000002</v>
      </c>
      <c r="AN19" s="147">
        <f t="shared" si="25"/>
        <v>350</v>
      </c>
      <c r="AP19">
        <f t="shared" si="26"/>
        <v>14.000000000000002</v>
      </c>
      <c r="AQ19" s="147">
        <f t="shared" si="27"/>
        <v>350</v>
      </c>
      <c r="AR19" s="147"/>
      <c r="AS19" s="5">
        <f t="shared" si="55"/>
        <v>2.8571428571428572</v>
      </c>
      <c r="AT19" s="5">
        <f t="shared" si="28"/>
        <v>0.53334814794239249</v>
      </c>
      <c r="AU19" s="5">
        <f t="shared" si="56"/>
        <v>2.3237947092004649</v>
      </c>
      <c r="AV19" s="5">
        <f t="shared" si="29"/>
        <v>0.52220771665377852</v>
      </c>
      <c r="AW19" s="153">
        <f t="shared" si="57"/>
        <v>0.18667185177983736</v>
      </c>
      <c r="AX19" s="153">
        <f t="shared" si="30"/>
        <v>0.23831111111111108</v>
      </c>
      <c r="AY19" s="153">
        <f t="shared" si="31"/>
        <v>6.922133960467651E-2</v>
      </c>
      <c r="AZ19" s="153">
        <f t="shared" si="58"/>
        <v>3.4427405258567267</v>
      </c>
      <c r="BA19" s="147">
        <f t="shared" si="32"/>
        <v>3.3279803794703455</v>
      </c>
      <c r="BB19" s="147">
        <f t="shared" si="33"/>
        <v>0.32627680644740731</v>
      </c>
      <c r="BC19" s="5">
        <f t="shared" si="34"/>
        <v>4.8197223598231864E-2</v>
      </c>
      <c r="BD19" s="147">
        <f t="shared" si="35"/>
        <v>3.661458436534057</v>
      </c>
      <c r="BE19" s="5"/>
      <c r="BF19" s="153">
        <f t="shared" si="59"/>
        <v>4.2460292630722568E-2</v>
      </c>
      <c r="BG19" s="153">
        <f t="shared" si="36"/>
        <v>8.8629125989537316E-2</v>
      </c>
      <c r="BH19" s="153"/>
      <c r="BI19" s="463">
        <f t="shared" si="37"/>
        <v>6.3100675760030761E-4</v>
      </c>
      <c r="BJ19" s="463">
        <f t="shared" si="38"/>
        <v>9.0317402329223445E-3</v>
      </c>
      <c r="BK19" s="463">
        <f t="shared" si="39"/>
        <v>4.3749999999999995E-3</v>
      </c>
      <c r="BL19" s="463">
        <f t="shared" si="40"/>
        <v>1.6087792E-2</v>
      </c>
      <c r="BM19">
        <f t="shared" si="41"/>
        <v>4.3499999999999997E-3</v>
      </c>
      <c r="BN19">
        <f t="shared" si="42"/>
        <v>8.7499999999999992E-6</v>
      </c>
      <c r="BO19" s="463">
        <f t="shared" si="43"/>
        <v>3.4573499975484541E-2</v>
      </c>
      <c r="BP19" s="147">
        <f t="shared" si="60"/>
        <v>34.573499975484538</v>
      </c>
      <c r="BQ19" s="463">
        <f t="shared" si="44"/>
        <v>1.1349313187883328E-2</v>
      </c>
      <c r="BR19" s="463"/>
      <c r="BT19" s="147">
        <f t="shared" si="61"/>
        <v>11.349313187883329</v>
      </c>
      <c r="BU19" s="463">
        <f t="shared" si="45"/>
        <v>1.8028764502865933E-3</v>
      </c>
      <c r="BV19" s="463">
        <f t="shared" si="46"/>
        <v>7.8551219736692785E-3</v>
      </c>
      <c r="BW19" s="463">
        <f t="shared" si="47"/>
        <v>0</v>
      </c>
      <c r="BX19" s="463">
        <f t="shared" si="48"/>
        <v>1.0825322310495664E-2</v>
      </c>
      <c r="BY19" s="463">
        <f t="shared" si="49"/>
        <v>5.0704491725768325E-3</v>
      </c>
      <c r="BZ19" s="147">
        <f t="shared" si="62"/>
        <v>15.895771483072494</v>
      </c>
      <c r="CA19" s="153">
        <f t="shared" si="63"/>
        <v>6.1818584646440362E-2</v>
      </c>
      <c r="CB19" s="5">
        <f t="shared" si="64"/>
        <v>0.21000000000000002</v>
      </c>
      <c r="CC19" s="153">
        <f t="shared" si="65"/>
        <v>0.77257410589916442</v>
      </c>
      <c r="CD19" s="5">
        <f t="shared" si="66"/>
        <v>77.257410589916446</v>
      </c>
      <c r="CG19" s="59">
        <f t="shared" si="50"/>
        <v>-50</v>
      </c>
      <c r="CH19">
        <f t="shared" si="51"/>
        <v>-50</v>
      </c>
    </row>
    <row r="20" spans="5:86" x14ac:dyDescent="0.25">
      <c r="E20" s="150">
        <v>15</v>
      </c>
      <c r="F20" s="191">
        <f t="shared" si="52"/>
        <v>1.4999999999999999E-2</v>
      </c>
      <c r="G20" s="191"/>
      <c r="H20" s="191">
        <f t="shared" si="0"/>
        <v>0.22499999999999998</v>
      </c>
      <c r="I20" s="472">
        <f t="shared" si="1"/>
        <v>15</v>
      </c>
      <c r="J20" s="152">
        <f t="shared" si="2"/>
        <v>15.32</v>
      </c>
      <c r="K20" s="386">
        <f t="shared" si="3"/>
        <v>30.32</v>
      </c>
      <c r="L20" s="386"/>
      <c r="M20" s="191">
        <f t="shared" si="4"/>
        <v>0.50527704485488123</v>
      </c>
      <c r="N20" s="152">
        <f t="shared" si="5"/>
        <v>2.5579650395778364</v>
      </c>
      <c r="O20" s="152">
        <f t="shared" si="53"/>
        <v>0.22499999999999998</v>
      </c>
      <c r="P20" s="191">
        <f t="shared" si="6"/>
        <v>0.17053100263852242</v>
      </c>
      <c r="Q20" s="191">
        <f t="shared" si="7"/>
        <v>15</v>
      </c>
      <c r="R20" s="191">
        <f t="shared" si="8"/>
        <v>0.18947889182058048</v>
      </c>
      <c r="S20" s="152">
        <f t="shared" si="9"/>
        <v>322.51486828243043</v>
      </c>
      <c r="T20" s="152">
        <f t="shared" si="10"/>
        <v>15</v>
      </c>
      <c r="U20" s="191">
        <f t="shared" si="11"/>
        <v>6.5970409051349002E-2</v>
      </c>
      <c r="V20" s="191">
        <f t="shared" si="12"/>
        <v>0.20670728169422686</v>
      </c>
      <c r="W20" s="191">
        <f t="shared" si="13"/>
        <v>0.20238963612359026</v>
      </c>
      <c r="X20" s="175">
        <f t="shared" si="14"/>
        <v>350</v>
      </c>
      <c r="Y20" s="386">
        <f t="shared" si="54"/>
        <v>350</v>
      </c>
      <c r="AA20" s="191">
        <f t="shared" si="15"/>
        <v>0.46073894667618365</v>
      </c>
      <c r="AB20" s="153">
        <f t="shared" si="16"/>
        <v>1.4134941575574826</v>
      </c>
      <c r="AC20" s="153">
        <f t="shared" si="17"/>
        <v>0.11396906662504547</v>
      </c>
      <c r="AD20" s="153"/>
      <c r="AE20" s="153">
        <f t="shared" si="18"/>
        <v>0.46018276762402083</v>
      </c>
      <c r="AF20" s="317">
        <f t="shared" si="19"/>
        <v>434.60992907801426</v>
      </c>
      <c r="AG20" s="463">
        <f t="shared" si="20"/>
        <v>1.2079797650130546E-2</v>
      </c>
      <c r="AI20" s="153">
        <f t="shared" si="21"/>
        <v>0.17619184533546181</v>
      </c>
      <c r="AJ20" s="153">
        <f t="shared" si="22"/>
        <v>0.17619184533546181</v>
      </c>
      <c r="AK20" s="153">
        <f t="shared" si="23"/>
        <v>1.2174612302236412</v>
      </c>
      <c r="AM20" s="317">
        <f t="shared" si="24"/>
        <v>15</v>
      </c>
      <c r="AN20" s="147">
        <f t="shared" si="25"/>
        <v>350</v>
      </c>
      <c r="AP20">
        <f t="shared" si="26"/>
        <v>15</v>
      </c>
      <c r="AQ20" s="147">
        <f t="shared" si="27"/>
        <v>350</v>
      </c>
      <c r="AR20" s="147"/>
      <c r="AS20" s="5">
        <f t="shared" si="55"/>
        <v>2.8571428571428572</v>
      </c>
      <c r="AT20" s="5">
        <f t="shared" si="28"/>
        <v>0.55206778205111351</v>
      </c>
      <c r="AU20" s="5">
        <f t="shared" si="56"/>
        <v>2.3050750750917439</v>
      </c>
      <c r="AV20" s="5">
        <f t="shared" si="29"/>
        <v>0.54053634012837493</v>
      </c>
      <c r="AW20" s="153">
        <f t="shared" si="57"/>
        <v>0.19322372371788973</v>
      </c>
      <c r="AX20" s="153">
        <f t="shared" si="30"/>
        <v>0.2553333333333333</v>
      </c>
      <c r="AY20" s="153">
        <f t="shared" si="31"/>
        <v>7.1073700445508689E-2</v>
      </c>
      <c r="AZ20" s="153">
        <f t="shared" si="58"/>
        <v>3.5925149771692859</v>
      </c>
      <c r="BA20" s="147">
        <f t="shared" si="32"/>
        <v>3.3279803794703455</v>
      </c>
      <c r="BB20" s="147">
        <f t="shared" si="33"/>
        <v>0.37133817066666652</v>
      </c>
      <c r="BC20" s="5">
        <f t="shared" si="34"/>
        <v>5.1223890557594305E-2</v>
      </c>
      <c r="BD20" s="147">
        <f t="shared" si="35"/>
        <v>3.8917917918195726</v>
      </c>
      <c r="BE20" s="5"/>
      <c r="BF20" s="153">
        <f t="shared" si="59"/>
        <v>4.4715222948817163E-2</v>
      </c>
      <c r="BG20" s="153">
        <f t="shared" si="36"/>
        <v>9.1369602663446056E-2</v>
      </c>
      <c r="BH20" s="153"/>
      <c r="BI20" s="463">
        <f t="shared" si="37"/>
        <v>6.9980790717684871E-4</v>
      </c>
      <c r="BJ20" s="463">
        <f t="shared" si="38"/>
        <v>9.3487393134996048E-3</v>
      </c>
      <c r="BK20" s="463">
        <f t="shared" si="39"/>
        <v>4.3749999999999995E-3</v>
      </c>
      <c r="BL20" s="463">
        <f t="shared" si="40"/>
        <v>1.6087792E-2</v>
      </c>
      <c r="BM20">
        <f t="shared" si="41"/>
        <v>4.3499999999999997E-3</v>
      </c>
      <c r="BN20">
        <f t="shared" si="42"/>
        <v>8.7499999999999992E-6</v>
      </c>
      <c r="BO20" s="463">
        <f t="shared" si="43"/>
        <v>3.4969078305264946E-2</v>
      </c>
      <c r="BP20" s="147">
        <f t="shared" si="60"/>
        <v>34.969078305264944</v>
      </c>
      <c r="BQ20" s="463">
        <f t="shared" si="44"/>
        <v>1.2108180878229272E-2</v>
      </c>
      <c r="BR20" s="463"/>
      <c r="BT20" s="147">
        <f t="shared" si="61"/>
        <v>12.108180878229271</v>
      </c>
      <c r="BU20" s="463">
        <f t="shared" si="45"/>
        <v>1.9994511633624249E-3</v>
      </c>
      <c r="BV20" s="463">
        <f t="shared" si="46"/>
        <v>8.3484042908760093E-3</v>
      </c>
      <c r="BW20" s="463">
        <f t="shared" si="47"/>
        <v>0</v>
      </c>
      <c r="BX20" s="463">
        <f t="shared" si="48"/>
        <v>1.1599200256558218E-2</v>
      </c>
      <c r="BY20" s="463">
        <f t="shared" si="49"/>
        <v>5.4326241134751777E-3</v>
      </c>
      <c r="BZ20" s="147">
        <f t="shared" si="62"/>
        <v>17.031824370033394</v>
      </c>
      <c r="CA20" s="153">
        <f t="shared" si="63"/>
        <v>6.410908355352761E-2</v>
      </c>
      <c r="CB20" s="5">
        <f t="shared" si="64"/>
        <v>0.22499999999999998</v>
      </c>
      <c r="CC20" s="153">
        <f t="shared" si="65"/>
        <v>0.7782529598671083</v>
      </c>
      <c r="CD20" s="5">
        <f t="shared" si="66"/>
        <v>77.825295986710827</v>
      </c>
      <c r="CG20" s="59">
        <f t="shared" si="50"/>
        <v>-50</v>
      </c>
      <c r="CH20">
        <f t="shared" si="51"/>
        <v>-50</v>
      </c>
    </row>
    <row r="21" spans="5:86" s="59" customFormat="1" x14ac:dyDescent="0.25">
      <c r="E21" s="150">
        <v>16</v>
      </c>
      <c r="F21" s="191">
        <f t="shared" si="52"/>
        <v>1.6E-2</v>
      </c>
      <c r="G21" s="191"/>
      <c r="H21" s="191">
        <f t="shared" si="0"/>
        <v>0.24</v>
      </c>
      <c r="I21" s="472">
        <f t="shared" si="1"/>
        <v>15</v>
      </c>
      <c r="J21" s="152">
        <f t="shared" si="2"/>
        <v>15.32</v>
      </c>
      <c r="K21" s="386">
        <f t="shared" si="3"/>
        <v>30.32</v>
      </c>
      <c r="L21" s="386"/>
      <c r="M21" s="191">
        <f t="shared" si="4"/>
        <v>0.50527704485488123</v>
      </c>
      <c r="N21" s="152">
        <f t="shared" si="5"/>
        <v>2.5579650395778364</v>
      </c>
      <c r="O21" s="152">
        <f t="shared" si="53"/>
        <v>0.24</v>
      </c>
      <c r="P21" s="191">
        <f t="shared" si="6"/>
        <v>0.17053100263852242</v>
      </c>
      <c r="Q21" s="191">
        <f t="shared" si="7"/>
        <v>15</v>
      </c>
      <c r="R21" s="191">
        <f t="shared" si="8"/>
        <v>0.18947889182058048</v>
      </c>
      <c r="S21" s="152">
        <f t="shared" si="9"/>
        <v>301.42215762138721</v>
      </c>
      <c r="T21" s="152">
        <f t="shared" si="10"/>
        <v>15</v>
      </c>
      <c r="U21" s="191">
        <f t="shared" si="11"/>
        <v>7.0368436321438937E-2</v>
      </c>
      <c r="V21" s="191">
        <f t="shared" si="12"/>
        <v>0.22048776714050866</v>
      </c>
      <c r="W21" s="191">
        <f t="shared" si="13"/>
        <v>0.21588227853182962</v>
      </c>
      <c r="X21" s="175">
        <f t="shared" si="14"/>
        <v>350</v>
      </c>
      <c r="Y21" s="386">
        <f t="shared" si="54"/>
        <v>350</v>
      </c>
      <c r="AA21" s="191">
        <f t="shared" si="15"/>
        <v>0.46073894667618365</v>
      </c>
      <c r="AB21" s="153">
        <f t="shared" si="16"/>
        <v>1.4134941575574826</v>
      </c>
      <c r="AC21" s="469">
        <f t="shared" si="17"/>
        <v>0.11396906662504547</v>
      </c>
      <c r="AD21" s="469"/>
      <c r="AE21" s="153">
        <f t="shared" si="18"/>
        <v>0.46018276762402083</v>
      </c>
      <c r="AF21" s="317">
        <f t="shared" si="19"/>
        <v>463.58392434988195</v>
      </c>
      <c r="AG21" s="463">
        <f t="shared" si="20"/>
        <v>1.2079797650130546E-2</v>
      </c>
      <c r="AH21"/>
      <c r="AI21" s="153">
        <f t="shared" si="21"/>
        <v>0.1819701553924791</v>
      </c>
      <c r="AJ21" s="153">
        <f t="shared" si="22"/>
        <v>0.1819701553924791</v>
      </c>
      <c r="AK21" s="153">
        <f t="shared" si="23"/>
        <v>1.2213134369283194</v>
      </c>
      <c r="AM21" s="317">
        <f t="shared" si="24"/>
        <v>16</v>
      </c>
      <c r="AN21" s="147">
        <f t="shared" si="25"/>
        <v>350</v>
      </c>
      <c r="AP21">
        <f t="shared" si="26"/>
        <v>16</v>
      </c>
      <c r="AQ21" s="147">
        <f t="shared" si="27"/>
        <v>350</v>
      </c>
      <c r="AR21" s="147"/>
      <c r="AS21" s="5">
        <f t="shared" si="55"/>
        <v>2.8571428571428572</v>
      </c>
      <c r="AT21" s="5">
        <f t="shared" si="28"/>
        <v>0.57017315356310128</v>
      </c>
      <c r="AU21" s="5">
        <f t="shared" si="56"/>
        <v>2.2869697035797558</v>
      </c>
      <c r="AV21" s="5">
        <f t="shared" si="29"/>
        <v>0.55826353155656117</v>
      </c>
      <c r="AW21" s="153">
        <f t="shared" si="57"/>
        <v>0.19956060374708545</v>
      </c>
      <c r="AX21" s="153">
        <f t="shared" si="30"/>
        <v>0.27235555555555563</v>
      </c>
      <c r="AY21" s="153">
        <f t="shared" si="31"/>
        <v>7.2828040659202509E-2</v>
      </c>
      <c r="AZ21" s="153">
        <f t="shared" si="58"/>
        <v>3.7397073035376374</v>
      </c>
      <c r="BA21" s="147">
        <f t="shared" si="32"/>
        <v>3.3279803794703455</v>
      </c>
      <c r="BB21" s="147">
        <f t="shared" si="33"/>
        <v>0.41930031862518496</v>
      </c>
      <c r="BC21" s="5">
        <f t="shared" si="34"/>
        <v>5.4209652233001615E-2</v>
      </c>
      <c r="BD21" s="147">
        <f t="shared" si="35"/>
        <v>4.1190572508084546</v>
      </c>
      <c r="BE21" s="5"/>
      <c r="BF21" s="153">
        <f t="shared" si="59"/>
        <v>4.6932851686188347E-2</v>
      </c>
      <c r="BG21" s="153">
        <f t="shared" si="36"/>
        <v>9.3994786648639417E-2</v>
      </c>
      <c r="BH21" s="153"/>
      <c r="BI21" s="463">
        <f t="shared" si="37"/>
        <v>7.7094239858921333E-4</v>
      </c>
      <c r="BJ21" s="463">
        <f t="shared" si="38"/>
        <v>9.6553364451249426E-3</v>
      </c>
      <c r="BK21" s="463">
        <f t="shared" si="39"/>
        <v>4.3749999999999995E-3</v>
      </c>
      <c r="BL21" s="463">
        <f t="shared" si="40"/>
        <v>1.6087792E-2</v>
      </c>
      <c r="BM21">
        <f t="shared" si="41"/>
        <v>4.3499999999999997E-3</v>
      </c>
      <c r="BN21">
        <f t="shared" si="42"/>
        <v>8.7499999999999992E-6</v>
      </c>
      <c r="BO21" s="463">
        <f t="shared" si="43"/>
        <v>3.5356927196984661E-2</v>
      </c>
      <c r="BP21" s="147">
        <f t="shared" si="60"/>
        <v>35.356927196984664</v>
      </c>
      <c r="BQ21" s="463">
        <f t="shared" si="44"/>
        <v>1.286195521668216E-2</v>
      </c>
      <c r="BR21" s="463"/>
      <c r="BT21" s="147">
        <f t="shared" si="61"/>
        <v>12.86195521668216</v>
      </c>
      <c r="BU21" s="463">
        <f t="shared" si="45"/>
        <v>2.2026925673977525E-3</v>
      </c>
      <c r="BV21" s="463">
        <f t="shared" si="46"/>
        <v>8.8350199171232432E-3</v>
      </c>
      <c r="BW21" s="463">
        <f t="shared" si="47"/>
        <v>0</v>
      </c>
      <c r="BX21" s="463">
        <f t="shared" si="48"/>
        <v>1.2373163696536019E-2</v>
      </c>
      <c r="BY21" s="463">
        <f t="shared" si="49"/>
        <v>5.7947990543735246E-3</v>
      </c>
      <c r="BZ21" s="147">
        <f t="shared" si="62"/>
        <v>18.167962750909545</v>
      </c>
      <c r="CA21" s="153">
        <f t="shared" si="63"/>
        <v>6.6386845164576366E-2</v>
      </c>
      <c r="CB21" s="5">
        <f t="shared" si="64"/>
        <v>0.24</v>
      </c>
      <c r="CC21" s="153">
        <f t="shared" si="65"/>
        <v>0.78332344807781629</v>
      </c>
      <c r="CD21" s="5">
        <f t="shared" si="66"/>
        <v>78.332344807781624</v>
      </c>
      <c r="CG21" s="59">
        <f t="shared" si="50"/>
        <v>-50</v>
      </c>
      <c r="CH21">
        <f t="shared" si="51"/>
        <v>-50</v>
      </c>
    </row>
    <row r="22" spans="5:86" x14ac:dyDescent="0.25">
      <c r="E22" s="150">
        <v>17</v>
      </c>
      <c r="F22" s="191">
        <f t="shared" si="52"/>
        <v>1.7000000000000001E-2</v>
      </c>
      <c r="G22" s="191"/>
      <c r="H22" s="191">
        <f t="shared" si="0"/>
        <v>0.255</v>
      </c>
      <c r="I22" s="472">
        <f t="shared" si="1"/>
        <v>15</v>
      </c>
      <c r="J22" s="152">
        <f t="shared" si="2"/>
        <v>15.32</v>
      </c>
      <c r="K22" s="386">
        <f t="shared" si="3"/>
        <v>30.32</v>
      </c>
      <c r="L22" s="386"/>
      <c r="M22" s="191">
        <f t="shared" si="4"/>
        <v>0.50527704485488123</v>
      </c>
      <c r="N22" s="152">
        <f t="shared" si="5"/>
        <v>2.5579650395778364</v>
      </c>
      <c r="O22" s="152">
        <f t="shared" si="53"/>
        <v>0.255</v>
      </c>
      <c r="P22" s="191">
        <f t="shared" si="6"/>
        <v>0.17053100263852242</v>
      </c>
      <c r="Q22" s="191">
        <f t="shared" si="7"/>
        <v>15</v>
      </c>
      <c r="R22" s="191">
        <f t="shared" si="8"/>
        <v>0.18947889182058048</v>
      </c>
      <c r="S22" s="152">
        <f t="shared" si="9"/>
        <v>282.81107092592117</v>
      </c>
      <c r="T22" s="152">
        <f t="shared" si="10"/>
        <v>15</v>
      </c>
      <c r="U22" s="191">
        <f t="shared" si="11"/>
        <v>7.4766463591528873E-2</v>
      </c>
      <c r="V22" s="191">
        <f t="shared" si="12"/>
        <v>0.23426825258679046</v>
      </c>
      <c r="W22" s="191">
        <f t="shared" si="13"/>
        <v>0.22937492094006898</v>
      </c>
      <c r="X22" s="175">
        <f t="shared" si="14"/>
        <v>350</v>
      </c>
      <c r="Y22" s="386">
        <f t="shared" si="54"/>
        <v>350</v>
      </c>
      <c r="AA22" s="191">
        <f t="shared" si="15"/>
        <v>0.46073894667618365</v>
      </c>
      <c r="AB22" s="153">
        <f t="shared" si="16"/>
        <v>1.4134941575574826</v>
      </c>
      <c r="AC22" s="153">
        <f t="shared" si="17"/>
        <v>0.11396906662504547</v>
      </c>
      <c r="AD22" s="153"/>
      <c r="AE22" s="153">
        <f t="shared" si="18"/>
        <v>0.46018276762402083</v>
      </c>
      <c r="AF22" s="317">
        <f t="shared" si="19"/>
        <v>492.55791962174953</v>
      </c>
      <c r="AG22" s="463">
        <f t="shared" si="20"/>
        <v>1.2079797650130546E-2</v>
      </c>
      <c r="AI22" s="153">
        <f t="shared" si="21"/>
        <v>0.18757054284831259</v>
      </c>
      <c r="AJ22" s="153">
        <f t="shared" si="22"/>
        <v>0.18757054284831259</v>
      </c>
      <c r="AK22" s="153">
        <f t="shared" si="23"/>
        <v>1.2250470285655417</v>
      </c>
      <c r="AM22" s="317">
        <f t="shared" si="24"/>
        <v>17</v>
      </c>
      <c r="AN22" s="147">
        <f t="shared" si="25"/>
        <v>350</v>
      </c>
      <c r="AP22">
        <f t="shared" si="26"/>
        <v>17</v>
      </c>
      <c r="AQ22" s="147">
        <f t="shared" si="27"/>
        <v>350</v>
      </c>
      <c r="AR22" s="147"/>
      <c r="AS22" s="5">
        <f t="shared" si="55"/>
        <v>2.8571428571428572</v>
      </c>
      <c r="AT22" s="5">
        <f t="shared" si="28"/>
        <v>0.58772103425804612</v>
      </c>
      <c r="AU22" s="5">
        <f t="shared" si="56"/>
        <v>2.2694218228848113</v>
      </c>
      <c r="AV22" s="5">
        <f t="shared" si="29"/>
        <v>0.57544487688450985</v>
      </c>
      <c r="AW22" s="153">
        <f t="shared" si="57"/>
        <v>0.20570236199031613</v>
      </c>
      <c r="AX22" s="153">
        <f t="shared" si="30"/>
        <v>0.28937777777777773</v>
      </c>
      <c r="AY22" s="153">
        <f t="shared" si="31"/>
        <v>7.4493419572304445E-2</v>
      </c>
      <c r="AZ22" s="153">
        <f t="shared" si="58"/>
        <v>3.8846085928019893</v>
      </c>
      <c r="BA22" s="147">
        <f t="shared" si="32"/>
        <v>3.3279803794703455</v>
      </c>
      <c r="BB22" s="147">
        <f t="shared" si="33"/>
        <v>0.4701632503229628</v>
      </c>
      <c r="BC22" s="5">
        <f t="shared" si="34"/>
        <v>5.7155808872654507E-2</v>
      </c>
      <c r="BD22" s="147">
        <f t="shared" si="35"/>
        <v>4.3433523321157548</v>
      </c>
      <c r="BE22" s="5"/>
      <c r="BF22" s="153">
        <f t="shared" si="59"/>
        <v>4.9116074248668498E-2</v>
      </c>
      <c r="BG22" s="153">
        <f t="shared" si="36"/>
        <v>9.6515184117333799E-2</v>
      </c>
      <c r="BH22" s="153"/>
      <c r="BI22" s="463">
        <f t="shared" si="37"/>
        <v>8.4433606236025075E-4</v>
      </c>
      <c r="BJ22" s="463">
        <f t="shared" si="38"/>
        <v>9.9524930035314665E-3</v>
      </c>
      <c r="BK22" s="463">
        <f t="shared" si="39"/>
        <v>4.3749999999999995E-3</v>
      </c>
      <c r="BL22" s="463">
        <f t="shared" si="40"/>
        <v>1.6087792E-2</v>
      </c>
      <c r="BM22">
        <f t="shared" si="41"/>
        <v>4.3499999999999997E-3</v>
      </c>
      <c r="BN22">
        <f t="shared" si="42"/>
        <v>8.7499999999999992E-6</v>
      </c>
      <c r="BO22" s="463">
        <f t="shared" si="43"/>
        <v>3.5737923688187775E-2</v>
      </c>
      <c r="BP22" s="147">
        <f t="shared" si="60"/>
        <v>35.737923688187777</v>
      </c>
      <c r="BQ22" s="463">
        <f t="shared" si="44"/>
        <v>1.3610798104614973E-2</v>
      </c>
      <c r="BR22" s="463"/>
      <c r="BT22" s="147">
        <f t="shared" si="61"/>
        <v>13.610798104614974</v>
      </c>
      <c r="BU22" s="463">
        <f t="shared" si="45"/>
        <v>2.4123887496007167E-3</v>
      </c>
      <c r="BV22" s="463">
        <f t="shared" si="46"/>
        <v>9.3151807652028431E-3</v>
      </c>
      <c r="BW22" s="463">
        <f t="shared" si="47"/>
        <v>0</v>
      </c>
      <c r="BX22" s="463">
        <f t="shared" si="48"/>
        <v>1.3147212644597221E-2</v>
      </c>
      <c r="BY22" s="463">
        <f t="shared" si="49"/>
        <v>6.1569739952718689E-3</v>
      </c>
      <c r="BZ22" s="147">
        <f t="shared" si="62"/>
        <v>19.304186639869091</v>
      </c>
      <c r="CA22" s="153">
        <f t="shared" si="63"/>
        <v>6.8652908432671841E-2</v>
      </c>
      <c r="CB22" s="5">
        <f t="shared" si="64"/>
        <v>0.255</v>
      </c>
      <c r="CC22" s="153">
        <f t="shared" si="65"/>
        <v>0.78788107060390145</v>
      </c>
      <c r="CD22" s="5">
        <f t="shared" si="66"/>
        <v>78.788107060390146</v>
      </c>
      <c r="CG22" s="59">
        <f t="shared" si="50"/>
        <v>-50</v>
      </c>
      <c r="CH22">
        <f t="shared" si="51"/>
        <v>-50</v>
      </c>
    </row>
    <row r="23" spans="5:86" x14ac:dyDescent="0.25">
      <c r="E23" s="150">
        <v>18</v>
      </c>
      <c r="F23" s="191">
        <f t="shared" si="52"/>
        <v>1.7999999999999999E-2</v>
      </c>
      <c r="G23" s="191"/>
      <c r="H23" s="191">
        <f t="shared" si="0"/>
        <v>0.26999999999999996</v>
      </c>
      <c r="I23" s="472">
        <f t="shared" si="1"/>
        <v>15</v>
      </c>
      <c r="J23" s="152">
        <f t="shared" si="2"/>
        <v>15.32</v>
      </c>
      <c r="K23" s="386">
        <f t="shared" si="3"/>
        <v>30.32</v>
      </c>
      <c r="L23" s="386"/>
      <c r="M23" s="191">
        <f t="shared" si="4"/>
        <v>0.50527704485488123</v>
      </c>
      <c r="N23" s="152">
        <f t="shared" si="5"/>
        <v>2.5579650395778364</v>
      </c>
      <c r="O23" s="152">
        <f t="shared" si="53"/>
        <v>0.26999999999999996</v>
      </c>
      <c r="P23" s="191">
        <f t="shared" si="6"/>
        <v>0.17053100263852242</v>
      </c>
      <c r="Q23" s="191">
        <f t="shared" si="7"/>
        <v>15</v>
      </c>
      <c r="R23" s="191">
        <f t="shared" si="8"/>
        <v>0.18947889182058048</v>
      </c>
      <c r="S23" s="152">
        <f t="shared" si="9"/>
        <v>266.26800531120824</v>
      </c>
      <c r="T23" s="152">
        <f t="shared" si="10"/>
        <v>15</v>
      </c>
      <c r="U23" s="191">
        <f t="shared" si="11"/>
        <v>7.9164490861618794E-2</v>
      </c>
      <c r="V23" s="191">
        <f t="shared" si="12"/>
        <v>0.24804873803307223</v>
      </c>
      <c r="W23" s="191">
        <f t="shared" si="13"/>
        <v>0.24286756334830831</v>
      </c>
      <c r="X23" s="175">
        <f t="shared" si="14"/>
        <v>350</v>
      </c>
      <c r="Y23" s="386">
        <f t="shared" si="54"/>
        <v>350</v>
      </c>
      <c r="AA23" s="191">
        <f t="shared" si="15"/>
        <v>0.46073894667618365</v>
      </c>
      <c r="AB23" s="153">
        <f t="shared" si="16"/>
        <v>1.4134941575574826</v>
      </c>
      <c r="AC23" s="153">
        <f t="shared" si="17"/>
        <v>0.11396906662504547</v>
      </c>
      <c r="AD23" s="153"/>
      <c r="AE23" s="153">
        <f t="shared" si="18"/>
        <v>0.46018276762402083</v>
      </c>
      <c r="AF23" s="317">
        <f t="shared" si="19"/>
        <v>521.53191489361711</v>
      </c>
      <c r="AG23" s="463">
        <f t="shared" si="20"/>
        <v>1.2079797650130546E-2</v>
      </c>
      <c r="AI23" s="153">
        <f t="shared" si="21"/>
        <v>0.19300849627738761</v>
      </c>
      <c r="AJ23" s="153">
        <f t="shared" si="22"/>
        <v>0.19300849627738761</v>
      </c>
      <c r="AK23" s="153">
        <f t="shared" si="23"/>
        <v>1.2286723308515917</v>
      </c>
      <c r="AM23" s="317">
        <f t="shared" si="24"/>
        <v>18</v>
      </c>
      <c r="AN23" s="147">
        <f t="shared" si="25"/>
        <v>350</v>
      </c>
      <c r="AP23">
        <f t="shared" si="26"/>
        <v>18</v>
      </c>
      <c r="AQ23" s="147">
        <f t="shared" si="27"/>
        <v>350</v>
      </c>
      <c r="AR23" s="147"/>
      <c r="AS23" s="5">
        <f t="shared" si="55"/>
        <v>2.8571428571428572</v>
      </c>
      <c r="AT23" s="5">
        <f t="shared" si="28"/>
        <v>0.60475995500248114</v>
      </c>
      <c r="AU23" s="5">
        <f t="shared" si="56"/>
        <v>2.2523829021403761</v>
      </c>
      <c r="AV23" s="5">
        <f t="shared" si="29"/>
        <v>0.5921278932791918</v>
      </c>
      <c r="AW23" s="153">
        <f t="shared" si="57"/>
        <v>0.21166598425086838</v>
      </c>
      <c r="AX23" s="153">
        <f t="shared" si="30"/>
        <v>0.30639999999999984</v>
      </c>
      <c r="AY23" s="153">
        <f t="shared" si="31"/>
        <v>7.6077581472027159E-2</v>
      </c>
      <c r="AZ23" s="153">
        <f t="shared" si="58"/>
        <v>4.0274676727553382</v>
      </c>
      <c r="BA23" s="147">
        <f t="shared" si="32"/>
        <v>3.3279803794703455</v>
      </c>
      <c r="BB23" s="147">
        <f t="shared" si="33"/>
        <v>0.52392696575999964</v>
      </c>
      <c r="BC23" s="5">
        <f t="shared" si="34"/>
        <v>6.006354405707668E-2</v>
      </c>
      <c r="BD23" s="147">
        <f t="shared" si="35"/>
        <v>4.5647658042807517</v>
      </c>
      <c r="BE23" s="5"/>
      <c r="BF23" s="153">
        <f t="shared" si="59"/>
        <v>5.1267404961910373E-2</v>
      </c>
      <c r="BG23" s="153">
        <f t="shared" si="36"/>
        <v>9.8939778317710045E-2</v>
      </c>
      <c r="BH23" s="153"/>
      <c r="BI23" s="463">
        <f t="shared" si="37"/>
        <v>9.1992138403497936E-4</v>
      </c>
      <c r="BJ23" s="463">
        <f t="shared" si="38"/>
        <v>1.0241030812478187E-2</v>
      </c>
      <c r="BK23" s="463">
        <f t="shared" si="39"/>
        <v>4.3749999999999995E-3</v>
      </c>
      <c r="BL23" s="463">
        <f t="shared" si="40"/>
        <v>1.6087792E-2</v>
      </c>
      <c r="BM23">
        <f t="shared" si="41"/>
        <v>4.3499999999999997E-3</v>
      </c>
      <c r="BN23">
        <f t="shared" si="42"/>
        <v>8.7499999999999992E-6</v>
      </c>
      <c r="BO23" s="463">
        <f t="shared" si="43"/>
        <v>3.6112812848407227E-2</v>
      </c>
      <c r="BP23" s="147">
        <f t="shared" si="60"/>
        <v>36.112812848407231</v>
      </c>
      <c r="BQ23" s="463">
        <f t="shared" si="44"/>
        <v>1.4354856916438011E-2</v>
      </c>
      <c r="BR23" s="463"/>
      <c r="BT23" s="147">
        <f t="shared" si="61"/>
        <v>14.354856916438012</v>
      </c>
      <c r="BU23" s="463">
        <f t="shared" si="45"/>
        <v>2.6283468115285125E-3</v>
      </c>
      <c r="BV23" s="463">
        <f t="shared" si="46"/>
        <v>9.7890797335576062E-3</v>
      </c>
      <c r="BW23" s="463">
        <f t="shared" si="47"/>
        <v>0</v>
      </c>
      <c r="BX23" s="463">
        <f t="shared" si="48"/>
        <v>1.39213471149131E-2</v>
      </c>
      <c r="BY23" s="463">
        <f t="shared" si="49"/>
        <v>6.5191489361702114E-3</v>
      </c>
      <c r="BZ23" s="147">
        <f t="shared" si="62"/>
        <v>20.440496051083315</v>
      </c>
      <c r="CA23" s="153">
        <f t="shared" si="63"/>
        <v>7.0908165815928556E-2</v>
      </c>
      <c r="CB23" s="5">
        <f t="shared" si="64"/>
        <v>0.26999999999999996</v>
      </c>
      <c r="CC23" s="153">
        <f t="shared" si="65"/>
        <v>0.79200214918226675</v>
      </c>
      <c r="CD23" s="5">
        <f t="shared" si="66"/>
        <v>79.200214918226678</v>
      </c>
      <c r="CG23" s="59">
        <f t="shared" si="50"/>
        <v>-50</v>
      </c>
      <c r="CH23">
        <f t="shared" si="51"/>
        <v>-50</v>
      </c>
    </row>
    <row r="24" spans="5:86" x14ac:dyDescent="0.25">
      <c r="E24" s="150">
        <v>19</v>
      </c>
      <c r="F24" s="191">
        <f t="shared" si="52"/>
        <v>1.9000000000000003E-2</v>
      </c>
      <c r="G24" s="191"/>
      <c r="H24" s="191">
        <f t="shared" si="0"/>
        <v>0.28500000000000003</v>
      </c>
      <c r="I24" s="472">
        <f t="shared" si="1"/>
        <v>15</v>
      </c>
      <c r="J24" s="152">
        <f t="shared" si="2"/>
        <v>15.32</v>
      </c>
      <c r="K24" s="386">
        <f t="shared" si="3"/>
        <v>30.32</v>
      </c>
      <c r="L24" s="386"/>
      <c r="M24" s="191">
        <f t="shared" si="4"/>
        <v>0.50527704485488123</v>
      </c>
      <c r="N24" s="152">
        <f t="shared" si="5"/>
        <v>2.5579650395778364</v>
      </c>
      <c r="O24" s="152">
        <f t="shared" si="53"/>
        <v>0.28500000000000003</v>
      </c>
      <c r="P24" s="191">
        <f t="shared" si="6"/>
        <v>0.17053100263852242</v>
      </c>
      <c r="Q24" s="191">
        <f t="shared" si="7"/>
        <v>15</v>
      </c>
      <c r="R24" s="191">
        <f t="shared" si="8"/>
        <v>0.18947889182058048</v>
      </c>
      <c r="S24" s="152">
        <f t="shared" si="9"/>
        <v>251.46643219648371</v>
      </c>
      <c r="T24" s="152">
        <f t="shared" si="10"/>
        <v>15</v>
      </c>
      <c r="U24" s="191">
        <f t="shared" si="11"/>
        <v>8.3562518131708743E-2</v>
      </c>
      <c r="V24" s="191">
        <f t="shared" si="12"/>
        <v>0.26182922347935406</v>
      </c>
      <c r="W24" s="191">
        <f t="shared" si="13"/>
        <v>0.25636020575654772</v>
      </c>
      <c r="X24" s="175">
        <f t="shared" si="14"/>
        <v>350</v>
      </c>
      <c r="Y24" s="386">
        <f t="shared" si="54"/>
        <v>350</v>
      </c>
      <c r="AA24" s="191">
        <f t="shared" si="15"/>
        <v>0.46073894667618365</v>
      </c>
      <c r="AB24" s="153">
        <f t="shared" si="16"/>
        <v>1.4134941575574826</v>
      </c>
      <c r="AC24" s="153">
        <f t="shared" si="17"/>
        <v>0.11396906662504547</v>
      </c>
      <c r="AD24" s="153"/>
      <c r="AE24" s="153">
        <f t="shared" si="18"/>
        <v>0.46018276762402083</v>
      </c>
      <c r="AF24" s="317">
        <f t="shared" si="19"/>
        <v>550.50591016548492</v>
      </c>
      <c r="AG24" s="463">
        <f t="shared" si="20"/>
        <v>1.2079797650130546E-2</v>
      </c>
      <c r="AI24" s="153">
        <f t="shared" si="21"/>
        <v>0.19829737952405233</v>
      </c>
      <c r="AJ24" s="153">
        <f t="shared" si="22"/>
        <v>0.19829737952405233</v>
      </c>
      <c r="AK24" s="153">
        <f t="shared" si="23"/>
        <v>1.2321982530160349</v>
      </c>
      <c r="AM24" s="317">
        <f t="shared" si="24"/>
        <v>19.000000000000004</v>
      </c>
      <c r="AN24" s="147">
        <f t="shared" si="25"/>
        <v>350</v>
      </c>
      <c r="AP24">
        <f t="shared" si="26"/>
        <v>19.000000000000004</v>
      </c>
      <c r="AQ24" s="147">
        <f t="shared" si="27"/>
        <v>350</v>
      </c>
      <c r="AR24" s="147"/>
      <c r="AS24" s="5">
        <f t="shared" si="55"/>
        <v>2.8571428571428572</v>
      </c>
      <c r="AT24" s="5">
        <f t="shared" si="28"/>
        <v>0.62133178917536391</v>
      </c>
      <c r="AU24" s="5">
        <f t="shared" si="56"/>
        <v>2.2358110679674934</v>
      </c>
      <c r="AV24" s="5">
        <f t="shared" si="29"/>
        <v>0.60835357947979485</v>
      </c>
      <c r="AW24" s="153">
        <f t="shared" si="57"/>
        <v>0.21746612621137737</v>
      </c>
      <c r="AX24" s="153">
        <f t="shared" si="30"/>
        <v>0.32342222222222228</v>
      </c>
      <c r="AY24" s="153">
        <f t="shared" si="31"/>
        <v>7.7587208280544676E-2</v>
      </c>
      <c r="AZ24" s="153">
        <f t="shared" si="58"/>
        <v>4.1684992847374014</v>
      </c>
      <c r="BA24" s="147">
        <f t="shared" si="32"/>
        <v>3.3279803794703455</v>
      </c>
      <c r="BB24" s="147">
        <f t="shared" si="33"/>
        <v>0.58059146493629621</v>
      </c>
      <c r="BC24" s="5">
        <f t="shared" si="34"/>
        <v>6.2933941172418337E-2</v>
      </c>
      <c r="BD24" s="147">
        <f t="shared" si="35"/>
        <v>4.7833789212647089</v>
      </c>
      <c r="BE24" s="5"/>
      <c r="BF24" s="153">
        <f t="shared" si="59"/>
        <v>5.3389045545780639E-2</v>
      </c>
      <c r="BG24" s="153">
        <f t="shared" si="36"/>
        <v>0.10127632196658429</v>
      </c>
      <c r="BH24" s="153"/>
      <c r="BI24" s="463">
        <f t="shared" si="37"/>
        <v>9.9763656450130387E-4</v>
      </c>
      <c r="BJ24" s="463">
        <f t="shared" si="38"/>
        <v>1.0521658957546219E-2</v>
      </c>
      <c r="BK24" s="463">
        <f t="shared" si="39"/>
        <v>4.3749999999999995E-3</v>
      </c>
      <c r="BL24" s="463">
        <f t="shared" si="40"/>
        <v>1.6087792E-2</v>
      </c>
      <c r="BM24">
        <f t="shared" si="41"/>
        <v>4.3499999999999997E-3</v>
      </c>
      <c r="BN24">
        <f t="shared" si="42"/>
        <v>8.7499999999999992E-6</v>
      </c>
      <c r="BO24" s="463">
        <f t="shared" si="43"/>
        <v>3.6482233522121668E-2</v>
      </c>
      <c r="BP24" s="147">
        <f t="shared" si="60"/>
        <v>36.482233522121668</v>
      </c>
      <c r="BQ24" s="463">
        <f t="shared" si="44"/>
        <v>1.5094266550784543E-2</v>
      </c>
      <c r="BR24" s="463"/>
      <c r="BT24" s="147">
        <f t="shared" si="61"/>
        <v>15.094266550784543</v>
      </c>
      <c r="BU24" s="463">
        <f t="shared" si="45"/>
        <v>2.8503901842894396E-3</v>
      </c>
      <c r="BV24" s="463">
        <f t="shared" si="46"/>
        <v>1.0256893391079243E-2</v>
      </c>
      <c r="BW24" s="463">
        <f t="shared" si="47"/>
        <v>0</v>
      </c>
      <c r="BX24" s="463">
        <f t="shared" si="48"/>
        <v>1.4695567121658079E-2</v>
      </c>
      <c r="BY24" s="463">
        <f t="shared" si="49"/>
        <v>6.8813238770685592E-3</v>
      </c>
      <c r="BZ24" s="147">
        <f t="shared" si="62"/>
        <v>21.576890998726636</v>
      </c>
      <c r="CA24" s="153">
        <f t="shared" si="63"/>
        <v>7.3153391071632864E-2</v>
      </c>
      <c r="CB24" s="5">
        <f t="shared" si="64"/>
        <v>0.28500000000000003</v>
      </c>
      <c r="CC24" s="153">
        <f t="shared" si="65"/>
        <v>0.79574843378489257</v>
      </c>
      <c r="CD24" s="5">
        <f t="shared" si="66"/>
        <v>79.574843378489263</v>
      </c>
      <c r="CG24" s="59">
        <f t="shared" si="50"/>
        <v>-50</v>
      </c>
      <c r="CH24">
        <f t="shared" si="51"/>
        <v>-50</v>
      </c>
    </row>
    <row r="25" spans="5:86" x14ac:dyDescent="0.25">
      <c r="E25" s="150">
        <v>20</v>
      </c>
      <c r="F25" s="191">
        <f t="shared" si="52"/>
        <v>2.0000000000000004E-2</v>
      </c>
      <c r="G25" s="191"/>
      <c r="H25" s="191">
        <f t="shared" si="0"/>
        <v>0.30000000000000004</v>
      </c>
      <c r="I25" s="472">
        <f t="shared" si="1"/>
        <v>15</v>
      </c>
      <c r="J25" s="152">
        <f t="shared" si="2"/>
        <v>15.32</v>
      </c>
      <c r="K25" s="386">
        <f t="shared" si="3"/>
        <v>30.32</v>
      </c>
      <c r="L25" s="386"/>
      <c r="M25" s="191">
        <f t="shared" si="4"/>
        <v>0.50527704485488123</v>
      </c>
      <c r="N25" s="152">
        <f t="shared" si="5"/>
        <v>2.5579650395778364</v>
      </c>
      <c r="O25" s="152">
        <f t="shared" si="53"/>
        <v>0.30000000000000004</v>
      </c>
      <c r="P25" s="191">
        <f t="shared" si="6"/>
        <v>0.17053100263852242</v>
      </c>
      <c r="Q25" s="191">
        <f t="shared" si="7"/>
        <v>15</v>
      </c>
      <c r="R25" s="191">
        <f t="shared" si="8"/>
        <v>0.18947889182058048</v>
      </c>
      <c r="S25" s="152">
        <f t="shared" si="9"/>
        <v>238.14512872920065</v>
      </c>
      <c r="T25" s="152">
        <f t="shared" si="10"/>
        <v>15</v>
      </c>
      <c r="U25" s="191">
        <f t="shared" si="11"/>
        <v>8.7960545401798693E-2</v>
      </c>
      <c r="V25" s="191">
        <f t="shared" si="12"/>
        <v>0.27560970892563585</v>
      </c>
      <c r="W25" s="191">
        <f t="shared" si="13"/>
        <v>0.26985284816478711</v>
      </c>
      <c r="X25" s="175">
        <f t="shared" si="14"/>
        <v>350</v>
      </c>
      <c r="Y25" s="386">
        <f t="shared" si="54"/>
        <v>350</v>
      </c>
      <c r="AA25" s="191">
        <f t="shared" si="15"/>
        <v>0.46073894667618365</v>
      </c>
      <c r="AB25" s="153">
        <f t="shared" si="16"/>
        <v>1.4134941575574826</v>
      </c>
      <c r="AC25" s="153">
        <f t="shared" si="17"/>
        <v>0.11396906662504547</v>
      </c>
      <c r="AD25" s="153"/>
      <c r="AE25" s="153">
        <f t="shared" si="18"/>
        <v>0.46018276762402083</v>
      </c>
      <c r="AF25" s="317">
        <f t="shared" si="19"/>
        <v>579.4799054373525</v>
      </c>
      <c r="AG25" s="463">
        <f t="shared" si="20"/>
        <v>1.2079797650130546E-2</v>
      </c>
      <c r="AI25" s="153">
        <f t="shared" si="21"/>
        <v>0.2034488186668916</v>
      </c>
      <c r="AJ25" s="153">
        <f t="shared" si="22"/>
        <v>0.2034488186668916</v>
      </c>
      <c r="AK25" s="153">
        <f t="shared" si="23"/>
        <v>1.2356325457779276</v>
      </c>
      <c r="AM25" s="317">
        <f t="shared" si="24"/>
        <v>20.000000000000004</v>
      </c>
      <c r="AN25" s="147">
        <f t="shared" si="25"/>
        <v>350</v>
      </c>
      <c r="AP25">
        <f t="shared" si="26"/>
        <v>20.000000000000004</v>
      </c>
      <c r="AQ25" s="147">
        <f t="shared" si="27"/>
        <v>350</v>
      </c>
      <c r="AR25" s="147"/>
      <c r="AS25" s="5">
        <f t="shared" si="55"/>
        <v>2.8571428571428572</v>
      </c>
      <c r="AT25" s="5">
        <f t="shared" si="28"/>
        <v>0.63747296515626029</v>
      </c>
      <c r="AU25" s="5">
        <f t="shared" si="56"/>
        <v>2.2196698919865971</v>
      </c>
      <c r="AV25" s="5">
        <f t="shared" si="29"/>
        <v>0.62415760295978484</v>
      </c>
      <c r="AW25" s="153">
        <f t="shared" si="57"/>
        <v>0.22311553780469109</v>
      </c>
      <c r="AX25" s="153">
        <f t="shared" si="30"/>
        <v>0.34044444444444444</v>
      </c>
      <c r="AY25" s="153">
        <f t="shared" si="31"/>
        <v>7.9028113037149503E-2</v>
      </c>
      <c r="AZ25" s="153">
        <f t="shared" si="58"/>
        <v>4.3078903362453875</v>
      </c>
      <c r="BA25" s="147">
        <f t="shared" si="32"/>
        <v>3.3279803794703455</v>
      </c>
      <c r="BB25" s="147">
        <f t="shared" si="33"/>
        <v>0.64015674785185173</v>
      </c>
      <c r="BC25" s="5">
        <f t="shared" si="34"/>
        <v>6.5767996799602879E-2</v>
      </c>
      <c r="BD25" s="147">
        <f t="shared" si="35"/>
        <v>4.9992664266368827</v>
      </c>
      <c r="BE25" s="5"/>
      <c r="BF25" s="153">
        <f t="shared" si="59"/>
        <v>5.5482938336003977E-2</v>
      </c>
      <c r="BG25" s="153">
        <f t="shared" si="36"/>
        <v>0.10353156117462166</v>
      </c>
      <c r="BH25" s="153"/>
      <c r="BI25" s="463">
        <f t="shared" si="37"/>
        <v>1.0774247562388868E-3</v>
      </c>
      <c r="BJ25" s="463">
        <f t="shared" si="38"/>
        <v>1.0794994318465267E-2</v>
      </c>
      <c r="BK25" s="463">
        <f t="shared" si="39"/>
        <v>4.3749999999999995E-3</v>
      </c>
      <c r="BL25" s="463">
        <f t="shared" si="40"/>
        <v>1.6087792E-2</v>
      </c>
      <c r="BM25">
        <f t="shared" si="41"/>
        <v>4.3499999999999997E-3</v>
      </c>
      <c r="BN25">
        <f t="shared" si="42"/>
        <v>8.7499999999999992E-6</v>
      </c>
      <c r="BO25" s="463">
        <f t="shared" si="43"/>
        <v>3.6846737990726658E-2</v>
      </c>
      <c r="BP25" s="147">
        <f t="shared" si="60"/>
        <v>36.846737990726659</v>
      </c>
      <c r="BQ25" s="463">
        <f t="shared" si="44"/>
        <v>1.5829151097670389E-2</v>
      </c>
      <c r="BR25" s="463"/>
      <c r="BT25" s="147">
        <f t="shared" si="61"/>
        <v>15.829151097670389</v>
      </c>
      <c r="BU25" s="463">
        <f t="shared" si="45"/>
        <v>3.0783564463968197E-3</v>
      </c>
      <c r="BV25" s="463">
        <f t="shared" si="46"/>
        <v>1.0718784159254428E-2</v>
      </c>
      <c r="BW25" s="463">
        <f t="shared" si="47"/>
        <v>0</v>
      </c>
      <c r="BX25" s="463">
        <f t="shared" si="48"/>
        <v>1.5469872679009703E-2</v>
      </c>
      <c r="BY25" s="463">
        <f t="shared" si="49"/>
        <v>7.2434988179669053E-3</v>
      </c>
      <c r="BZ25" s="147">
        <f t="shared" si="62"/>
        <v>22.71337149697661</v>
      </c>
      <c r="CA25" s="153">
        <f t="shared" si="63"/>
        <v>7.5389260585373652E-2</v>
      </c>
      <c r="CB25" s="5">
        <f t="shared" si="64"/>
        <v>0.30000000000000004</v>
      </c>
      <c r="CC25" s="153">
        <f t="shared" si="65"/>
        <v>0.79917043852609604</v>
      </c>
      <c r="CD25" s="5">
        <f t="shared" si="66"/>
        <v>79.917043852609609</v>
      </c>
      <c r="CG25" s="59">
        <f t="shared" si="50"/>
        <v>-50</v>
      </c>
      <c r="CH25">
        <f t="shared" si="51"/>
        <v>-50</v>
      </c>
    </row>
    <row r="26" spans="5:86" x14ac:dyDescent="0.25">
      <c r="E26" s="150">
        <v>21</v>
      </c>
      <c r="F26" s="191">
        <f t="shared" si="52"/>
        <v>2.1000000000000001E-2</v>
      </c>
      <c r="G26" s="191"/>
      <c r="H26" s="191">
        <f t="shared" si="0"/>
        <v>0.315</v>
      </c>
      <c r="I26" s="472">
        <f t="shared" si="1"/>
        <v>15</v>
      </c>
      <c r="J26" s="152">
        <f t="shared" si="2"/>
        <v>15.32</v>
      </c>
      <c r="K26" s="386">
        <f t="shared" si="3"/>
        <v>30.32</v>
      </c>
      <c r="L26" s="386"/>
      <c r="M26" s="191">
        <f t="shared" si="4"/>
        <v>0.50527704485488123</v>
      </c>
      <c r="N26" s="152">
        <f t="shared" si="5"/>
        <v>2.5579650395778364</v>
      </c>
      <c r="O26" s="152">
        <f t="shared" si="53"/>
        <v>0.315</v>
      </c>
      <c r="P26" s="191">
        <f t="shared" si="6"/>
        <v>0.17053100263852242</v>
      </c>
      <c r="Q26" s="191">
        <f t="shared" si="7"/>
        <v>15</v>
      </c>
      <c r="R26" s="191">
        <f t="shared" si="8"/>
        <v>0.18947889182058048</v>
      </c>
      <c r="S26" s="152">
        <f t="shared" si="9"/>
        <v>226.09262880228755</v>
      </c>
      <c r="T26" s="152">
        <f t="shared" si="10"/>
        <v>15</v>
      </c>
      <c r="U26" s="191">
        <f t="shared" si="11"/>
        <v>9.2358572671888614E-2</v>
      </c>
      <c r="V26" s="191">
        <f t="shared" si="12"/>
        <v>0.28939019437191765</v>
      </c>
      <c r="W26" s="191">
        <f t="shared" si="13"/>
        <v>0.28334549057302644</v>
      </c>
      <c r="X26" s="175">
        <f t="shared" si="14"/>
        <v>350</v>
      </c>
      <c r="Y26" s="386">
        <f t="shared" si="54"/>
        <v>350</v>
      </c>
      <c r="AA26" s="191">
        <f t="shared" si="15"/>
        <v>0.46073894667618365</v>
      </c>
      <c r="AB26" s="153">
        <f t="shared" si="16"/>
        <v>1.4134941575574826</v>
      </c>
      <c r="AC26" s="153">
        <f t="shared" si="17"/>
        <v>0.11396906662504547</v>
      </c>
      <c r="AD26" s="153"/>
      <c r="AE26" s="153">
        <f t="shared" si="18"/>
        <v>0.46018276762402083</v>
      </c>
      <c r="AF26" s="317">
        <f t="shared" si="19"/>
        <v>608.45390070922008</v>
      </c>
      <c r="AG26" s="463">
        <f t="shared" si="20"/>
        <v>1.2079797650130546E-2</v>
      </c>
      <c r="AI26" s="153">
        <f t="shared" si="21"/>
        <v>0.20847300282722803</v>
      </c>
      <c r="AJ26" s="153">
        <f t="shared" si="22"/>
        <v>0.20847300282722803</v>
      </c>
      <c r="AK26" s="153">
        <f t="shared" si="23"/>
        <v>1.2389820018848186</v>
      </c>
      <c r="AM26" s="317">
        <f t="shared" si="24"/>
        <v>21</v>
      </c>
      <c r="AN26" s="147">
        <f t="shared" si="25"/>
        <v>350</v>
      </c>
      <c r="AP26">
        <f t="shared" si="26"/>
        <v>21</v>
      </c>
      <c r="AQ26" s="147">
        <f t="shared" si="27"/>
        <v>350</v>
      </c>
      <c r="AR26" s="147"/>
      <c r="AS26" s="5">
        <f t="shared" si="55"/>
        <v>2.8571428571428572</v>
      </c>
      <c r="AT26" s="5">
        <f t="shared" si="28"/>
        <v>0.65321540885864782</v>
      </c>
      <c r="AU26" s="5">
        <f t="shared" si="56"/>
        <v>2.2039274482842095</v>
      </c>
      <c r="AV26" s="5">
        <f t="shared" si="29"/>
        <v>0.63957122277282741</v>
      </c>
      <c r="AW26" s="153">
        <f t="shared" si="57"/>
        <v>0.22862539310052674</v>
      </c>
      <c r="AX26" s="153">
        <f t="shared" si="30"/>
        <v>0.35746666666666671</v>
      </c>
      <c r="AY26" s="153">
        <f t="shared" si="31"/>
        <v>8.0405390302502891E-2</v>
      </c>
      <c r="AZ26" s="153">
        <f t="shared" si="58"/>
        <v>4.4458047566437759</v>
      </c>
      <c r="BA26" s="147">
        <f t="shared" si="32"/>
        <v>3.3279803794703455</v>
      </c>
      <c r="BB26" s="147">
        <f t="shared" si="33"/>
        <v>0.70262281450666642</v>
      </c>
      <c r="BC26" s="5">
        <f t="shared" si="34"/>
        <v>6.8566631724397628E-2</v>
      </c>
      <c r="BD26" s="147">
        <f t="shared" si="35"/>
        <v>5.2124973793298217</v>
      </c>
      <c r="BE26" s="5"/>
      <c r="BF26" s="153">
        <f t="shared" si="59"/>
        <v>5.7550808242471878E-2</v>
      </c>
      <c r="BG26" s="153">
        <f t="shared" si="36"/>
        <v>0.10571140953828986</v>
      </c>
      <c r="BH26" s="153"/>
      <c r="BI26" s="463">
        <f t="shared" si="37"/>
        <v>1.159233435276619E-3</v>
      </c>
      <c r="BJ26" s="463">
        <f t="shared" si="38"/>
        <v>1.1061577530012721E-2</v>
      </c>
      <c r="BK26" s="463">
        <f t="shared" si="39"/>
        <v>4.3749999999999995E-3</v>
      </c>
      <c r="BL26" s="463">
        <f t="shared" si="40"/>
        <v>1.6087792E-2</v>
      </c>
      <c r="BM26">
        <f t="shared" si="41"/>
        <v>4.3499999999999997E-3</v>
      </c>
      <c r="BN26">
        <f t="shared" si="42"/>
        <v>8.7499999999999992E-6</v>
      </c>
      <c r="BO26" s="463">
        <f t="shared" si="43"/>
        <v>3.720680721772935E-2</v>
      </c>
      <c r="BP26" s="147">
        <f t="shared" si="60"/>
        <v>37.206807217729349</v>
      </c>
      <c r="BQ26" s="463">
        <f t="shared" si="44"/>
        <v>1.6559625209421041E-2</v>
      </c>
      <c r="BR26" s="463"/>
      <c r="BT26" s="147">
        <f t="shared" si="61"/>
        <v>16.559625209421039</v>
      </c>
      <c r="BU26" s="463">
        <f t="shared" si="45"/>
        <v>3.312095529361769E-3</v>
      </c>
      <c r="BV26" s="463">
        <f t="shared" si="46"/>
        <v>1.1174902106572042E-2</v>
      </c>
      <c r="BW26" s="463">
        <f t="shared" si="47"/>
        <v>0</v>
      </c>
      <c r="BX26" s="463">
        <f t="shared" si="48"/>
        <v>1.6244263801148646E-2</v>
      </c>
      <c r="BY26" s="463">
        <f t="shared" si="49"/>
        <v>7.6056737588652504E-3</v>
      </c>
      <c r="BZ26" s="147">
        <f t="shared" si="62"/>
        <v>23.849937560013899</v>
      </c>
      <c r="CA26" s="153">
        <f t="shared" si="63"/>
        <v>7.7616369987164285E-2</v>
      </c>
      <c r="CB26" s="5">
        <f t="shared" si="64"/>
        <v>0.315</v>
      </c>
      <c r="CC26" s="153">
        <f t="shared" si="65"/>
        <v>0.80230989861756963</v>
      </c>
      <c r="CD26" s="5">
        <f t="shared" si="66"/>
        <v>80.230989861756967</v>
      </c>
      <c r="CG26" s="59">
        <f t="shared" si="50"/>
        <v>-50</v>
      </c>
      <c r="CH26">
        <f t="shared" si="51"/>
        <v>-50</v>
      </c>
    </row>
    <row r="27" spans="5:86" x14ac:dyDescent="0.25">
      <c r="E27" s="150">
        <v>22</v>
      </c>
      <c r="F27" s="191">
        <f t="shared" si="52"/>
        <v>2.2000000000000002E-2</v>
      </c>
      <c r="G27" s="191"/>
      <c r="H27" s="191">
        <f t="shared" si="0"/>
        <v>0.33</v>
      </c>
      <c r="I27" s="472">
        <f t="shared" si="1"/>
        <v>15</v>
      </c>
      <c r="J27" s="152">
        <f t="shared" si="2"/>
        <v>15.32</v>
      </c>
      <c r="K27" s="386">
        <f t="shared" si="3"/>
        <v>30.32</v>
      </c>
      <c r="L27" s="386"/>
      <c r="M27" s="191">
        <f t="shared" si="4"/>
        <v>0.50527704485488123</v>
      </c>
      <c r="N27" s="152">
        <f t="shared" si="5"/>
        <v>2.5579650395778364</v>
      </c>
      <c r="O27" s="152">
        <f t="shared" si="53"/>
        <v>0.33</v>
      </c>
      <c r="P27" s="191">
        <f t="shared" si="6"/>
        <v>0.17053100263852242</v>
      </c>
      <c r="Q27" s="191">
        <f t="shared" si="7"/>
        <v>15</v>
      </c>
      <c r="R27" s="191">
        <f t="shared" si="8"/>
        <v>0.18947889182058048</v>
      </c>
      <c r="S27" s="152">
        <f t="shared" si="9"/>
        <v>215.13591470306656</v>
      </c>
      <c r="T27" s="152">
        <f t="shared" si="10"/>
        <v>15</v>
      </c>
      <c r="U27" s="191">
        <f t="shared" si="11"/>
        <v>9.6756599941978549E-2</v>
      </c>
      <c r="V27" s="191">
        <f t="shared" si="12"/>
        <v>0.30317067981819945</v>
      </c>
      <c r="W27" s="191">
        <f t="shared" si="13"/>
        <v>0.29683813298126577</v>
      </c>
      <c r="X27" s="175">
        <f t="shared" si="14"/>
        <v>350</v>
      </c>
      <c r="Y27" s="386">
        <f t="shared" si="54"/>
        <v>350</v>
      </c>
      <c r="AA27" s="191">
        <f t="shared" si="15"/>
        <v>0.46073894667618365</v>
      </c>
      <c r="AB27" s="153">
        <f t="shared" si="16"/>
        <v>1.4134941575574826</v>
      </c>
      <c r="AC27" s="153">
        <f t="shared" si="17"/>
        <v>0.11396906662504547</v>
      </c>
      <c r="AD27" s="153"/>
      <c r="AE27" s="153">
        <f t="shared" si="18"/>
        <v>0.46018276762402083</v>
      </c>
      <c r="AF27" s="317">
        <f t="shared" si="19"/>
        <v>637.42789598108766</v>
      </c>
      <c r="AG27" s="463">
        <f t="shared" si="20"/>
        <v>1.2079797650130546E-2</v>
      </c>
      <c r="AI27" s="153">
        <f t="shared" si="21"/>
        <v>0.21337892116760057</v>
      </c>
      <c r="AJ27" s="153">
        <f t="shared" si="22"/>
        <v>0.21337892116760057</v>
      </c>
      <c r="AK27" s="153">
        <f t="shared" si="23"/>
        <v>1.2422526141117336</v>
      </c>
      <c r="AM27" s="317">
        <f t="shared" si="24"/>
        <v>22.000000000000004</v>
      </c>
      <c r="AN27" s="147">
        <f t="shared" si="25"/>
        <v>350</v>
      </c>
      <c r="AP27">
        <f t="shared" si="26"/>
        <v>22.000000000000004</v>
      </c>
      <c r="AQ27" s="147">
        <f t="shared" si="27"/>
        <v>350</v>
      </c>
      <c r="AR27" s="147"/>
      <c r="AS27" s="5">
        <f t="shared" si="55"/>
        <v>2.8571428571428572</v>
      </c>
      <c r="AT27" s="5">
        <f t="shared" si="28"/>
        <v>0.66858728632514841</v>
      </c>
      <c r="AU27" s="5">
        <f t="shared" si="56"/>
        <v>2.1885555708177087</v>
      </c>
      <c r="AV27" s="5">
        <f t="shared" si="29"/>
        <v>0.65462201663689468</v>
      </c>
      <c r="AW27" s="153">
        <f t="shared" si="57"/>
        <v>0.23400555021380193</v>
      </c>
      <c r="AX27" s="153">
        <f t="shared" si="30"/>
        <v>0.37448888888888882</v>
      </c>
      <c r="AY27" s="153">
        <f t="shared" si="31"/>
        <v>8.1723534657874367E-2</v>
      </c>
      <c r="AZ27" s="153">
        <f t="shared" si="58"/>
        <v>4.5823873191075375</v>
      </c>
      <c r="BA27" s="147">
        <f t="shared" si="32"/>
        <v>3.3279803794703455</v>
      </c>
      <c r="BB27" s="147">
        <f t="shared" si="33"/>
        <v>0.76798966490074072</v>
      </c>
      <c r="BC27" s="5">
        <f t="shared" si="34"/>
        <v>7.1330700085910512E-2</v>
      </c>
      <c r="BD27" s="147">
        <f t="shared" si="35"/>
        <v>5.4231358397766218</v>
      </c>
      <c r="BE27" s="5"/>
      <c r="BF27" s="153">
        <f t="shared" si="59"/>
        <v>5.9594196249994576E-2</v>
      </c>
      <c r="BG27" s="153">
        <f t="shared" si="36"/>
        <v>0.10782108531977176</v>
      </c>
      <c r="BH27" s="153"/>
      <c r="BI27" s="463">
        <f t="shared" si="37"/>
        <v>1.2430138793390036E-3</v>
      </c>
      <c r="BJ27" s="463">
        <f t="shared" si="38"/>
        <v>1.1321885557152888E-2</v>
      </c>
      <c r="BK27" s="463">
        <f t="shared" si="39"/>
        <v>4.3749999999999995E-3</v>
      </c>
      <c r="BL27" s="463">
        <f t="shared" si="40"/>
        <v>1.6087792E-2</v>
      </c>
      <c r="BM27">
        <f t="shared" si="41"/>
        <v>4.3499999999999997E-3</v>
      </c>
      <c r="BN27">
        <f t="shared" si="42"/>
        <v>8.7499999999999992E-6</v>
      </c>
      <c r="BO27" s="463">
        <f t="shared" si="43"/>
        <v>3.7562862829193952E-2</v>
      </c>
      <c r="BP27" s="147">
        <f t="shared" si="60"/>
        <v>37.562862829193953</v>
      </c>
      <c r="BQ27" s="463">
        <f t="shared" si="44"/>
        <v>1.7285795239803597E-2</v>
      </c>
      <c r="BR27" s="463"/>
      <c r="BT27" s="147">
        <f t="shared" si="61"/>
        <v>17.285795239803598</v>
      </c>
      <c r="BU27" s="463">
        <f t="shared" si="45"/>
        <v>3.5514682266828677E-3</v>
      </c>
      <c r="BV27" s="463">
        <f t="shared" si="46"/>
        <v>1.1625386439533501E-2</v>
      </c>
      <c r="BW27" s="463">
        <f t="shared" si="47"/>
        <v>0</v>
      </c>
      <c r="BX27" s="463">
        <f t="shared" si="48"/>
        <v>1.7018740502258722E-2</v>
      </c>
      <c r="BY27" s="463">
        <f t="shared" si="49"/>
        <v>7.9678486997635939E-3</v>
      </c>
      <c r="BZ27" s="147">
        <f t="shared" si="62"/>
        <v>24.986589202022316</v>
      </c>
      <c r="CA27" s="153">
        <f t="shared" si="63"/>
        <v>7.9835247271019871E-2</v>
      </c>
      <c r="CB27" s="5">
        <f t="shared" si="64"/>
        <v>0.33</v>
      </c>
      <c r="CC27" s="153">
        <f t="shared" si="65"/>
        <v>0.80520160771280458</v>
      </c>
      <c r="CD27" s="5">
        <f t="shared" si="66"/>
        <v>80.520160771280459</v>
      </c>
      <c r="CG27" s="59">
        <f t="shared" si="50"/>
        <v>-50</v>
      </c>
      <c r="CH27">
        <f t="shared" si="51"/>
        <v>-50</v>
      </c>
    </row>
    <row r="28" spans="5:86" x14ac:dyDescent="0.25">
      <c r="E28" s="150">
        <v>23</v>
      </c>
      <c r="F28" s="191">
        <f t="shared" si="52"/>
        <v>2.3000000000000003E-2</v>
      </c>
      <c r="G28" s="191"/>
      <c r="H28" s="191">
        <f t="shared" si="0"/>
        <v>0.34500000000000003</v>
      </c>
      <c r="I28" s="472">
        <f t="shared" si="1"/>
        <v>15</v>
      </c>
      <c r="J28" s="152">
        <f t="shared" si="2"/>
        <v>15.32</v>
      </c>
      <c r="K28" s="386">
        <f t="shared" si="3"/>
        <v>30.32</v>
      </c>
      <c r="L28" s="386"/>
      <c r="M28" s="191">
        <f t="shared" si="4"/>
        <v>0.50527704485488123</v>
      </c>
      <c r="N28" s="152">
        <f t="shared" si="5"/>
        <v>2.5579650395778364</v>
      </c>
      <c r="O28" s="152">
        <f t="shared" si="53"/>
        <v>0.34500000000000003</v>
      </c>
      <c r="P28" s="191">
        <f t="shared" si="6"/>
        <v>0.17053100263852242</v>
      </c>
      <c r="Q28" s="191">
        <f t="shared" si="7"/>
        <v>15</v>
      </c>
      <c r="R28" s="191">
        <f t="shared" si="8"/>
        <v>0.18947889182058048</v>
      </c>
      <c r="S28" s="152">
        <f t="shared" si="9"/>
        <v>205.13205876680416</v>
      </c>
      <c r="T28" s="152">
        <f t="shared" si="10"/>
        <v>15</v>
      </c>
      <c r="U28" s="191">
        <f t="shared" si="11"/>
        <v>0.10115462721206848</v>
      </c>
      <c r="V28" s="191">
        <f t="shared" si="12"/>
        <v>0.31695116526448125</v>
      </c>
      <c r="W28" s="191">
        <f t="shared" si="13"/>
        <v>0.31033077538950515</v>
      </c>
      <c r="X28" s="175">
        <f t="shared" si="14"/>
        <v>350</v>
      </c>
      <c r="Y28" s="386">
        <f t="shared" si="54"/>
        <v>350</v>
      </c>
      <c r="AA28" s="191">
        <f t="shared" si="15"/>
        <v>0.46073894667618365</v>
      </c>
      <c r="AB28" s="153">
        <f t="shared" si="16"/>
        <v>1.4134941575574826</v>
      </c>
      <c r="AC28" s="153">
        <f t="shared" si="17"/>
        <v>0.11396906662504547</v>
      </c>
      <c r="AD28" s="153"/>
      <c r="AE28" s="153">
        <f t="shared" si="18"/>
        <v>0.46018276762402083</v>
      </c>
      <c r="AF28" s="317">
        <f t="shared" si="19"/>
        <v>666.40189125295535</v>
      </c>
      <c r="AG28" s="463">
        <f t="shared" si="20"/>
        <v>1.2079797650130546E-2</v>
      </c>
      <c r="AI28" s="153">
        <f t="shared" si="21"/>
        <v>0.21817455188334131</v>
      </c>
      <c r="AJ28" s="153">
        <f t="shared" si="22"/>
        <v>0.21817455188334131</v>
      </c>
      <c r="AK28" s="153">
        <f t="shared" si="23"/>
        <v>1.2454497012555608</v>
      </c>
      <c r="AM28" s="317">
        <f t="shared" si="24"/>
        <v>23.000000000000004</v>
      </c>
      <c r="AN28" s="147">
        <f t="shared" si="25"/>
        <v>350</v>
      </c>
      <c r="AP28">
        <f t="shared" si="26"/>
        <v>23.000000000000004</v>
      </c>
      <c r="AQ28" s="147">
        <f t="shared" si="27"/>
        <v>350</v>
      </c>
      <c r="AR28" s="147"/>
      <c r="AS28" s="5">
        <f t="shared" si="55"/>
        <v>2.8571428571428572</v>
      </c>
      <c r="AT28" s="5">
        <f t="shared" si="28"/>
        <v>0.68361359590113613</v>
      </c>
      <c r="AU28" s="5">
        <f t="shared" si="56"/>
        <v>2.173529261241721</v>
      </c>
      <c r="AV28" s="5">
        <f t="shared" si="29"/>
        <v>0.66933446073871028</v>
      </c>
      <c r="AW28" s="153">
        <f t="shared" si="57"/>
        <v>0.23926475856539764</v>
      </c>
      <c r="AX28" s="153">
        <f t="shared" si="30"/>
        <v>0.39151111111111103</v>
      </c>
      <c r="AY28" s="153">
        <f t="shared" si="31"/>
        <v>8.2986535200929912E-2</v>
      </c>
      <c r="AZ28" s="153">
        <f t="shared" si="58"/>
        <v>4.7177666854408438</v>
      </c>
      <c r="BA28" s="147">
        <f t="shared" si="32"/>
        <v>3.3279803794703455</v>
      </c>
      <c r="BB28" s="147">
        <f t="shared" si="33"/>
        <v>0.83625729903407398</v>
      </c>
      <c r="BC28" s="5">
        <f t="shared" si="34"/>
        <v>7.40609970497179E-2</v>
      </c>
      <c r="BD28" s="147">
        <f t="shared" si="35"/>
        <v>5.63124144539551</v>
      </c>
      <c r="BE28" s="5"/>
      <c r="BF28" s="153">
        <f t="shared" si="59"/>
        <v>6.1614486472659873E-2</v>
      </c>
      <c r="BG28" s="153">
        <f t="shared" si="36"/>
        <v>0.10986522085359561</v>
      </c>
      <c r="BH28" s="153"/>
      <c r="BI28" s="463">
        <f t="shared" si="37"/>
        <v>1.3287207301513552E-3</v>
      </c>
      <c r="BJ28" s="463">
        <f t="shared" si="38"/>
        <v>1.1576341722930089E-2</v>
      </c>
      <c r="BK28" s="463">
        <f t="shared" si="39"/>
        <v>4.3749999999999995E-3</v>
      </c>
      <c r="BL28" s="463">
        <f t="shared" si="40"/>
        <v>1.6087792E-2</v>
      </c>
      <c r="BM28">
        <f t="shared" si="41"/>
        <v>4.3499999999999997E-3</v>
      </c>
      <c r="BN28">
        <f t="shared" si="42"/>
        <v>8.7499999999999992E-6</v>
      </c>
      <c r="BO28" s="463">
        <f t="shared" si="43"/>
        <v>3.7915276642846829E-2</v>
      </c>
      <c r="BP28" s="147">
        <f t="shared" si="60"/>
        <v>37.915276642846827</v>
      </c>
      <c r="BQ28" s="463">
        <f t="shared" si="44"/>
        <v>1.8007760199451939E-2</v>
      </c>
      <c r="BR28" s="463"/>
      <c r="BT28" s="147">
        <f t="shared" si="61"/>
        <v>18.007760199451937</v>
      </c>
      <c r="BU28" s="463">
        <f t="shared" si="45"/>
        <v>3.7963449432895863E-3</v>
      </c>
      <c r="BV28" s="463">
        <f t="shared" si="46"/>
        <v>1.2070366753209339E-2</v>
      </c>
      <c r="BW28" s="463">
        <f t="shared" si="47"/>
        <v>0</v>
      </c>
      <c r="BX28" s="463">
        <f t="shared" si="48"/>
        <v>1.779330279652688E-2</v>
      </c>
      <c r="BY28" s="463">
        <f t="shared" si="49"/>
        <v>8.3300236406619391E-3</v>
      </c>
      <c r="BZ28" s="147">
        <f t="shared" si="62"/>
        <v>26.123326437188819</v>
      </c>
      <c r="CA28" s="153">
        <f t="shared" si="63"/>
        <v>8.2046363279487583E-2</v>
      </c>
      <c r="CB28" s="5">
        <f t="shared" si="64"/>
        <v>0.34500000000000003</v>
      </c>
      <c r="CC28" s="153">
        <f t="shared" si="65"/>
        <v>0.80787481094695335</v>
      </c>
      <c r="CD28" s="5">
        <f t="shared" si="66"/>
        <v>80.787481094695337</v>
      </c>
      <c r="CG28" s="59">
        <f t="shared" si="50"/>
        <v>-50</v>
      </c>
      <c r="CH28">
        <f t="shared" si="51"/>
        <v>-50</v>
      </c>
    </row>
    <row r="29" spans="5:86" x14ac:dyDescent="0.25">
      <c r="E29" s="150">
        <v>24</v>
      </c>
      <c r="F29" s="191">
        <f t="shared" si="52"/>
        <v>2.4E-2</v>
      </c>
      <c r="G29" s="191"/>
      <c r="H29" s="191">
        <f t="shared" si="0"/>
        <v>0.36</v>
      </c>
      <c r="I29" s="472">
        <f t="shared" si="1"/>
        <v>15</v>
      </c>
      <c r="J29" s="152">
        <f t="shared" si="2"/>
        <v>15.32</v>
      </c>
      <c r="K29" s="386">
        <f t="shared" si="3"/>
        <v>30.32</v>
      </c>
      <c r="L29" s="386"/>
      <c r="M29" s="191">
        <f t="shared" si="4"/>
        <v>0.50527704485488123</v>
      </c>
      <c r="N29" s="152">
        <f t="shared" si="5"/>
        <v>2.5579650395778364</v>
      </c>
      <c r="O29" s="152">
        <f t="shared" si="53"/>
        <v>0.36</v>
      </c>
      <c r="P29" s="191">
        <f t="shared" si="6"/>
        <v>0.17053100263852242</v>
      </c>
      <c r="Q29" s="191">
        <f t="shared" si="7"/>
        <v>15</v>
      </c>
      <c r="R29" s="191">
        <f t="shared" si="8"/>
        <v>0.18947889182058048</v>
      </c>
      <c r="S29" s="152">
        <f t="shared" si="9"/>
        <v>195.96195461687691</v>
      </c>
      <c r="T29" s="152">
        <f t="shared" si="10"/>
        <v>15</v>
      </c>
      <c r="U29" s="191">
        <f t="shared" si="11"/>
        <v>0.10555265448215841</v>
      </c>
      <c r="V29" s="191">
        <f t="shared" si="12"/>
        <v>0.33073165071076299</v>
      </c>
      <c r="W29" s="191">
        <f t="shared" si="13"/>
        <v>0.32382341779774443</v>
      </c>
      <c r="X29" s="175">
        <f t="shared" si="14"/>
        <v>350</v>
      </c>
      <c r="Y29" s="386">
        <f t="shared" si="54"/>
        <v>350</v>
      </c>
      <c r="AA29" s="191">
        <f t="shared" si="15"/>
        <v>0.46073894667618365</v>
      </c>
      <c r="AB29" s="153">
        <f t="shared" si="16"/>
        <v>1.4134941575574826</v>
      </c>
      <c r="AC29" s="153">
        <f t="shared" si="17"/>
        <v>0.11396906662504547</v>
      </c>
      <c r="AD29" s="153"/>
      <c r="AE29" s="153">
        <f t="shared" si="18"/>
        <v>0.46018276762402083</v>
      </c>
      <c r="AF29" s="317">
        <f t="shared" si="19"/>
        <v>695.37588652482293</v>
      </c>
      <c r="AG29" s="463">
        <f t="shared" si="20"/>
        <v>1.2079797650130546E-2</v>
      </c>
      <c r="AI29" s="153">
        <f t="shared" si="21"/>
        <v>0.22286701456326927</v>
      </c>
      <c r="AJ29" s="153">
        <f t="shared" si="22"/>
        <v>0.22286701456326927</v>
      </c>
      <c r="AK29" s="153">
        <f t="shared" si="23"/>
        <v>1.2485780097088461</v>
      </c>
      <c r="AM29" s="317">
        <f t="shared" si="24"/>
        <v>24</v>
      </c>
      <c r="AN29" s="147">
        <f t="shared" si="25"/>
        <v>350</v>
      </c>
      <c r="AP29">
        <f t="shared" si="26"/>
        <v>24</v>
      </c>
      <c r="AQ29" s="147">
        <f t="shared" si="27"/>
        <v>350</v>
      </c>
      <c r="AR29" s="147"/>
      <c r="AS29" s="5">
        <f t="shared" si="55"/>
        <v>2.8571428571428572</v>
      </c>
      <c r="AT29" s="5">
        <f t="shared" si="28"/>
        <v>0.69831664563157692</v>
      </c>
      <c r="AU29" s="5">
        <f t="shared" si="56"/>
        <v>2.1588262115112804</v>
      </c>
      <c r="AV29" s="5">
        <f t="shared" si="29"/>
        <v>0.68373039715885475</v>
      </c>
      <c r="AW29" s="153">
        <f t="shared" si="57"/>
        <v>0.2444108259710519</v>
      </c>
      <c r="AX29" s="153">
        <f t="shared" si="30"/>
        <v>0.40853333333333325</v>
      </c>
      <c r="AY29" s="153">
        <f t="shared" si="31"/>
        <v>8.4197951726079093E-2</v>
      </c>
      <c r="AZ29" s="153">
        <f t="shared" si="58"/>
        <v>4.8520578583955745</v>
      </c>
      <c r="BA29" s="147">
        <f t="shared" si="32"/>
        <v>3.3279803794703455</v>
      </c>
      <c r="BB29" s="147">
        <f t="shared" si="33"/>
        <v>0.9074257169066664</v>
      </c>
      <c r="BC29" s="5">
        <f t="shared" si="34"/>
        <v>7.6758265298178849E-2</v>
      </c>
      <c r="BD29" s="147">
        <f t="shared" si="35"/>
        <v>5.8368698973634139</v>
      </c>
      <c r="BE29" s="5"/>
      <c r="BF29" s="153">
        <f t="shared" si="59"/>
        <v>6.3612928228145196E-2</v>
      </c>
      <c r="BG29" s="153">
        <f t="shared" si="36"/>
        <v>0.11184795075915491</v>
      </c>
      <c r="BH29" s="153"/>
      <c r="BI29" s="463">
        <f t="shared" si="37"/>
        <v>1.416311623215703E-3</v>
      </c>
      <c r="BJ29" s="463">
        <f t="shared" si="38"/>
        <v>1.1825323792727068E-2</v>
      </c>
      <c r="BK29" s="463">
        <f t="shared" si="39"/>
        <v>4.3749999999999995E-3</v>
      </c>
      <c r="BL29" s="463">
        <f t="shared" si="40"/>
        <v>1.6087792E-2</v>
      </c>
      <c r="BM29">
        <f t="shared" si="41"/>
        <v>4.3499999999999997E-3</v>
      </c>
      <c r="BN29">
        <f t="shared" si="42"/>
        <v>8.7499999999999992E-6</v>
      </c>
      <c r="BO29" s="463">
        <f t="shared" si="43"/>
        <v>3.8264378330435139E-2</v>
      </c>
      <c r="BP29" s="147">
        <f t="shared" si="60"/>
        <v>38.264378330435136</v>
      </c>
      <c r="BQ29" s="463">
        <f t="shared" si="44"/>
        <v>1.8725612564013071E-2</v>
      </c>
      <c r="BR29" s="463"/>
      <c r="BT29" s="147">
        <f t="shared" si="61"/>
        <v>18.725612564013073</v>
      </c>
      <c r="BU29" s="463">
        <f t="shared" si="45"/>
        <v>4.0466046377591516E-3</v>
      </c>
      <c r="BV29" s="463">
        <f t="shared" si="46"/>
        <v>1.250996408902234E-2</v>
      </c>
      <c r="BW29" s="463">
        <f t="shared" si="47"/>
        <v>0</v>
      </c>
      <c r="BX29" s="463">
        <f t="shared" si="48"/>
        <v>1.8567950698143213E-2</v>
      </c>
      <c r="BY29" s="463">
        <f t="shared" si="49"/>
        <v>8.6921985815602842E-3</v>
      </c>
      <c r="BZ29" s="147">
        <f t="shared" si="62"/>
        <v>27.260149279703498</v>
      </c>
      <c r="CA29" s="153">
        <f t="shared" si="63"/>
        <v>8.4250140174151708E-2</v>
      </c>
      <c r="CB29" s="5">
        <f t="shared" si="64"/>
        <v>0.36</v>
      </c>
      <c r="CC29" s="153">
        <f t="shared" si="65"/>
        <v>0.81035427441593022</v>
      </c>
      <c r="CD29" s="5">
        <f t="shared" si="66"/>
        <v>81.035427441593015</v>
      </c>
      <c r="CG29" s="59">
        <f t="shared" si="50"/>
        <v>-50</v>
      </c>
      <c r="CH29">
        <f t="shared" si="51"/>
        <v>-50</v>
      </c>
    </row>
    <row r="30" spans="5:86" x14ac:dyDescent="0.25">
      <c r="E30" s="150">
        <v>25</v>
      </c>
      <c r="F30" s="191">
        <f t="shared" si="52"/>
        <v>2.5000000000000001E-2</v>
      </c>
      <c r="G30" s="191"/>
      <c r="H30" s="191">
        <f t="shared" si="0"/>
        <v>0.375</v>
      </c>
      <c r="I30" s="472">
        <f t="shared" si="1"/>
        <v>15</v>
      </c>
      <c r="J30" s="152">
        <f t="shared" si="2"/>
        <v>15.32</v>
      </c>
      <c r="K30" s="386">
        <f t="shared" si="3"/>
        <v>30.32</v>
      </c>
      <c r="L30" s="386"/>
      <c r="M30" s="191">
        <f t="shared" si="4"/>
        <v>0.50527704485488123</v>
      </c>
      <c r="N30" s="152">
        <f t="shared" si="5"/>
        <v>2.5579650395778364</v>
      </c>
      <c r="O30" s="152">
        <f t="shared" si="53"/>
        <v>0.375</v>
      </c>
      <c r="P30" s="191">
        <f t="shared" si="6"/>
        <v>0.17053100263852242</v>
      </c>
      <c r="Q30" s="191">
        <f t="shared" si="7"/>
        <v>15</v>
      </c>
      <c r="R30" s="191">
        <f t="shared" si="8"/>
        <v>0.18947889182058048</v>
      </c>
      <c r="S30" s="152">
        <f t="shared" si="9"/>
        <v>187.52555290729919</v>
      </c>
      <c r="T30" s="152">
        <f t="shared" si="10"/>
        <v>15</v>
      </c>
      <c r="U30" s="191">
        <f t="shared" si="11"/>
        <v>0.10995068175224834</v>
      </c>
      <c r="V30" s="191">
        <f t="shared" si="12"/>
        <v>0.34451213615704479</v>
      </c>
      <c r="W30" s="191">
        <f t="shared" si="13"/>
        <v>0.33731606020598381</v>
      </c>
      <c r="X30" s="175">
        <f t="shared" si="14"/>
        <v>350</v>
      </c>
      <c r="Y30" s="386">
        <f t="shared" si="54"/>
        <v>350</v>
      </c>
      <c r="AA30" s="191">
        <f t="shared" si="15"/>
        <v>0.46073894667618365</v>
      </c>
      <c r="AB30" s="153">
        <f t="shared" si="16"/>
        <v>1.4134941575574826</v>
      </c>
      <c r="AC30" s="153">
        <f t="shared" si="17"/>
        <v>0.11396906662504547</v>
      </c>
      <c r="AD30" s="153"/>
      <c r="AE30" s="153">
        <f t="shared" si="18"/>
        <v>0.46018276762402083</v>
      </c>
      <c r="AF30" s="317">
        <f t="shared" si="19"/>
        <v>724.34988179669051</v>
      </c>
      <c r="AG30" s="463">
        <f t="shared" si="20"/>
        <v>1.2079797650130546E-2</v>
      </c>
      <c r="AI30" s="153">
        <f t="shared" si="21"/>
        <v>0.22746269424059887</v>
      </c>
      <c r="AJ30" s="153">
        <f t="shared" si="22"/>
        <v>0.22746269424059887</v>
      </c>
      <c r="AK30" s="153">
        <f t="shared" si="23"/>
        <v>1.2516417961603992</v>
      </c>
      <c r="AM30" s="317">
        <f t="shared" si="24"/>
        <v>25</v>
      </c>
      <c r="AN30" s="147">
        <f t="shared" si="25"/>
        <v>350</v>
      </c>
      <c r="AP30">
        <f t="shared" si="26"/>
        <v>25</v>
      </c>
      <c r="AQ30" s="147">
        <f t="shared" si="27"/>
        <v>350</v>
      </c>
      <c r="AR30" s="147"/>
      <c r="AS30" s="5">
        <f t="shared" si="55"/>
        <v>2.8571428571428572</v>
      </c>
      <c r="AT30" s="5">
        <f t="shared" si="28"/>
        <v>0.7127164419538764</v>
      </c>
      <c r="AU30" s="5">
        <f t="shared" si="56"/>
        <v>2.1444264151889807</v>
      </c>
      <c r="AV30" s="5">
        <f t="shared" si="29"/>
        <v>0.69782941444570146</v>
      </c>
      <c r="AW30" s="153">
        <f t="shared" si="57"/>
        <v>0.24945075468385675</v>
      </c>
      <c r="AX30" s="153">
        <f t="shared" si="30"/>
        <v>0.42555555555555552</v>
      </c>
      <c r="AY30" s="153">
        <f t="shared" si="31"/>
        <v>8.5360976749929068E-2</v>
      </c>
      <c r="AZ30" s="153">
        <f t="shared" si="58"/>
        <v>4.9853641764462253</v>
      </c>
      <c r="BA30" s="147">
        <f t="shared" si="32"/>
        <v>3.3279803794703455</v>
      </c>
      <c r="BB30" s="147">
        <f t="shared" si="33"/>
        <v>0.98149491851851822</v>
      </c>
      <c r="BC30" s="5">
        <f t="shared" si="34"/>
        <v>7.9423200562554835E-2</v>
      </c>
      <c r="BD30" s="147">
        <f t="shared" si="35"/>
        <v>6.0400733755249467</v>
      </c>
      <c r="BE30" s="5"/>
      <c r="BF30" s="153">
        <f t="shared" si="59"/>
        <v>6.5590654217645469E-2</v>
      </c>
      <c r="BG30" s="153">
        <f t="shared" si="36"/>
        <v>0.1137729837719189</v>
      </c>
      <c r="BH30" s="153"/>
      <c r="BI30" s="463">
        <f t="shared" si="37"/>
        <v>1.5057468722445564E-3</v>
      </c>
      <c r="BJ30" s="463">
        <f t="shared" si="38"/>
        <v>1.2069170556406173E-2</v>
      </c>
      <c r="BK30" s="463">
        <f t="shared" si="39"/>
        <v>4.3749999999999995E-3</v>
      </c>
      <c r="BL30" s="463">
        <f t="shared" si="40"/>
        <v>1.6087792E-2</v>
      </c>
      <c r="BM30">
        <f t="shared" si="41"/>
        <v>4.3499999999999997E-3</v>
      </c>
      <c r="BN30">
        <f t="shared" si="42"/>
        <v>8.7499999999999992E-6</v>
      </c>
      <c r="BO30" s="463">
        <f t="shared" si="43"/>
        <v>3.8610461640255202E-2</v>
      </c>
      <c r="BP30" s="147">
        <f t="shared" si="60"/>
        <v>38.610461640255203</v>
      </c>
      <c r="BQ30" s="463">
        <f t="shared" si="44"/>
        <v>1.943943896298311E-2</v>
      </c>
      <c r="BR30" s="463"/>
      <c r="BT30" s="147">
        <f t="shared" si="61"/>
        <v>19.439438962983111</v>
      </c>
      <c r="BU30" s="463">
        <f t="shared" si="45"/>
        <v>4.3021339206987331E-3</v>
      </c>
      <c r="BV30" s="463">
        <f t="shared" si="46"/>
        <v>1.2944291836365321E-2</v>
      </c>
      <c r="BW30" s="463">
        <f t="shared" si="47"/>
        <v>0</v>
      </c>
      <c r="BX30" s="463">
        <f t="shared" si="48"/>
        <v>1.9342684221300942E-2</v>
      </c>
      <c r="BY30" s="463">
        <f t="shared" si="49"/>
        <v>9.0543735224586294E-3</v>
      </c>
      <c r="BZ30" s="147">
        <f t="shared" si="62"/>
        <v>28.397057743759571</v>
      </c>
      <c r="CA30" s="153">
        <f t="shared" si="63"/>
        <v>8.6446958346997893E-2</v>
      </c>
      <c r="CB30" s="5">
        <f t="shared" si="64"/>
        <v>0.375</v>
      </c>
      <c r="CC30" s="153">
        <f t="shared" si="65"/>
        <v>0.81266111568560451</v>
      </c>
      <c r="CD30" s="5">
        <f t="shared" si="66"/>
        <v>81.266111568560447</v>
      </c>
      <c r="CG30" s="59">
        <f t="shared" si="50"/>
        <v>-50</v>
      </c>
      <c r="CH30">
        <f t="shared" si="51"/>
        <v>-50</v>
      </c>
    </row>
    <row r="31" spans="5:86" x14ac:dyDescent="0.25">
      <c r="E31" s="150">
        <v>26</v>
      </c>
      <c r="F31" s="191">
        <f t="shared" si="52"/>
        <v>2.6000000000000002E-2</v>
      </c>
      <c r="G31" s="191"/>
      <c r="H31" s="191">
        <f t="shared" si="0"/>
        <v>0.39</v>
      </c>
      <c r="I31" s="472">
        <f t="shared" si="1"/>
        <v>15</v>
      </c>
      <c r="J31" s="152">
        <f t="shared" si="2"/>
        <v>15.32</v>
      </c>
      <c r="K31" s="386">
        <f t="shared" si="3"/>
        <v>30.32</v>
      </c>
      <c r="L31" s="386"/>
      <c r="M31" s="191">
        <f t="shared" si="4"/>
        <v>0.50527704485488123</v>
      </c>
      <c r="N31" s="152">
        <f t="shared" si="5"/>
        <v>2.5579650395778364</v>
      </c>
      <c r="O31" s="152">
        <f t="shared" si="53"/>
        <v>0.39</v>
      </c>
      <c r="P31" s="191">
        <f t="shared" si="6"/>
        <v>0.17053100263852242</v>
      </c>
      <c r="Q31" s="191">
        <f t="shared" si="7"/>
        <v>15</v>
      </c>
      <c r="R31" s="191">
        <f t="shared" si="8"/>
        <v>0.18947889182058048</v>
      </c>
      <c r="S31" s="152">
        <f t="shared" si="9"/>
        <v>179.73819650928667</v>
      </c>
      <c r="T31" s="152">
        <f t="shared" si="10"/>
        <v>15</v>
      </c>
      <c r="U31" s="191">
        <f t="shared" si="11"/>
        <v>0.11434870902233828</v>
      </c>
      <c r="V31" s="191">
        <f t="shared" si="12"/>
        <v>0.35829262160332664</v>
      </c>
      <c r="W31" s="191">
        <f t="shared" si="13"/>
        <v>0.3508087026142232</v>
      </c>
      <c r="X31" s="175">
        <f t="shared" si="14"/>
        <v>350</v>
      </c>
      <c r="Y31" s="386">
        <f t="shared" si="54"/>
        <v>350</v>
      </c>
      <c r="AA31" s="191">
        <f t="shared" si="15"/>
        <v>0.46073894667618365</v>
      </c>
      <c r="AB31" s="153">
        <f t="shared" si="16"/>
        <v>1.4134941575574826</v>
      </c>
      <c r="AC31" s="153">
        <f t="shared" si="17"/>
        <v>0.11396906662504547</v>
      </c>
      <c r="AD31" s="153"/>
      <c r="AE31" s="153">
        <f t="shared" si="18"/>
        <v>0.46018276762402083</v>
      </c>
      <c r="AF31" s="317">
        <f t="shared" si="19"/>
        <v>753.32387706855809</v>
      </c>
      <c r="AG31" s="463">
        <f t="shared" si="20"/>
        <v>1.2079797650130546E-2</v>
      </c>
      <c r="AI31" s="153">
        <f t="shared" si="21"/>
        <v>0.23196734330944055</v>
      </c>
      <c r="AJ31" s="153">
        <f t="shared" si="22"/>
        <v>0.23196734330944055</v>
      </c>
      <c r="AK31" s="153">
        <f t="shared" si="23"/>
        <v>1.254644895539627</v>
      </c>
      <c r="AM31" s="317">
        <f t="shared" si="24"/>
        <v>26.000000000000004</v>
      </c>
      <c r="AN31" s="147">
        <f t="shared" si="25"/>
        <v>350</v>
      </c>
      <c r="AP31">
        <f t="shared" si="26"/>
        <v>26.000000000000004</v>
      </c>
      <c r="AQ31" s="147">
        <f t="shared" si="27"/>
        <v>350</v>
      </c>
      <c r="AR31" s="147"/>
      <c r="AS31" s="5">
        <f t="shared" si="55"/>
        <v>2.8571428571428572</v>
      </c>
      <c r="AT31" s="5">
        <f t="shared" si="28"/>
        <v>0.72683100903624698</v>
      </c>
      <c r="AU31" s="5">
        <f t="shared" si="56"/>
        <v>2.1303118481066101</v>
      </c>
      <c r="AV31" s="5">
        <f t="shared" si="29"/>
        <v>0.71164916028353165</v>
      </c>
      <c r="AW31" s="153">
        <f t="shared" si="57"/>
        <v>0.25439085316268645</v>
      </c>
      <c r="AX31" s="153">
        <f t="shared" si="30"/>
        <v>0.44257777777777779</v>
      </c>
      <c r="AY31" s="153">
        <f t="shared" si="31"/>
        <v>8.6478486469535099E-2</v>
      </c>
      <c r="AZ31" s="153">
        <f t="shared" si="58"/>
        <v>5.1177789511116201</v>
      </c>
      <c r="BA31" s="147">
        <f t="shared" si="32"/>
        <v>3.3279803794703455</v>
      </c>
      <c r="BB31" s="147">
        <f t="shared" si="33"/>
        <v>1.0584649038696294</v>
      </c>
      <c r="BC31" s="5">
        <f t="shared" si="34"/>
        <v>8.2056456371513875E-2</v>
      </c>
      <c r="BD31" s="147">
        <f t="shared" si="35"/>
        <v>6.2409008945302062</v>
      </c>
      <c r="BE31" s="5"/>
      <c r="BF31" s="153">
        <f t="shared" si="59"/>
        <v>6.7548695626490921E-2</v>
      </c>
      <c r="BG31" s="153">
        <f t="shared" si="36"/>
        <v>0.115643661765383</v>
      </c>
      <c r="BH31" s="153"/>
      <c r="BI31" s="463">
        <f t="shared" si="37"/>
        <v>1.5969891982941097E-3</v>
      </c>
      <c r="BJ31" s="463">
        <f t="shared" si="38"/>
        <v>1.2308187235998917E-2</v>
      </c>
      <c r="BK31" s="463">
        <f t="shared" si="39"/>
        <v>4.3749999999999995E-3</v>
      </c>
      <c r="BL31" s="463">
        <f t="shared" si="40"/>
        <v>1.6087792E-2</v>
      </c>
      <c r="BM31">
        <f t="shared" si="41"/>
        <v>4.3499999999999997E-3</v>
      </c>
      <c r="BN31">
        <f t="shared" si="42"/>
        <v>8.7499999999999992E-6</v>
      </c>
      <c r="BO31" s="463">
        <f t="shared" si="43"/>
        <v>3.8953789496167943E-2</v>
      </c>
      <c r="BP31" s="147">
        <f t="shared" si="60"/>
        <v>38.953789496167943</v>
      </c>
      <c r="BQ31" s="463">
        <f t="shared" si="44"/>
        <v>2.0149320770970817E-2</v>
      </c>
      <c r="BR31" s="463"/>
      <c r="BT31" s="147">
        <f t="shared" si="61"/>
        <v>20.149320770970817</v>
      </c>
      <c r="BU31" s="463">
        <f t="shared" si="45"/>
        <v>4.5628262808403135E-3</v>
      </c>
      <c r="BV31" s="463">
        <f t="shared" si="46"/>
        <v>1.3373456506506306E-2</v>
      </c>
      <c r="BW31" s="463">
        <f t="shared" si="47"/>
        <v>0</v>
      </c>
      <c r="BX31" s="463">
        <f t="shared" si="48"/>
        <v>2.0117503380196425E-2</v>
      </c>
      <c r="BY31" s="463">
        <f t="shared" si="49"/>
        <v>9.4165484633569763E-3</v>
      </c>
      <c r="BZ31" s="147">
        <f t="shared" si="62"/>
        <v>29.534051843553399</v>
      </c>
      <c r="CA31" s="153">
        <f t="shared" si="63"/>
        <v>8.8637162110692155E-2</v>
      </c>
      <c r="CB31" s="5">
        <f t="shared" si="64"/>
        <v>0.39</v>
      </c>
      <c r="CC31" s="153">
        <f t="shared" si="65"/>
        <v>0.81481345552062778</v>
      </c>
      <c r="CD31" s="5">
        <f t="shared" si="66"/>
        <v>81.481345552062777</v>
      </c>
      <c r="CG31" s="59">
        <f t="shared" si="50"/>
        <v>-50</v>
      </c>
      <c r="CH31">
        <f t="shared" si="51"/>
        <v>-50</v>
      </c>
    </row>
    <row r="32" spans="5:86" x14ac:dyDescent="0.25">
      <c r="E32" s="150">
        <v>27</v>
      </c>
      <c r="F32" s="191">
        <f t="shared" si="52"/>
        <v>2.7000000000000003E-2</v>
      </c>
      <c r="G32" s="191"/>
      <c r="H32" s="191">
        <f t="shared" si="0"/>
        <v>0.40500000000000003</v>
      </c>
      <c r="I32" s="472">
        <f t="shared" si="1"/>
        <v>15</v>
      </c>
      <c r="J32" s="152">
        <f t="shared" si="2"/>
        <v>15.32</v>
      </c>
      <c r="K32" s="386">
        <f t="shared" si="3"/>
        <v>30.32</v>
      </c>
      <c r="L32" s="386"/>
      <c r="M32" s="191">
        <f t="shared" si="4"/>
        <v>0.50527704485488123</v>
      </c>
      <c r="N32" s="152">
        <f t="shared" si="5"/>
        <v>2.5579650395778364</v>
      </c>
      <c r="O32" s="152">
        <f t="shared" si="53"/>
        <v>0.40500000000000003</v>
      </c>
      <c r="P32" s="191">
        <f t="shared" si="6"/>
        <v>0.17053100263852242</v>
      </c>
      <c r="Q32" s="191">
        <f t="shared" si="7"/>
        <v>15</v>
      </c>
      <c r="R32" s="191">
        <f t="shared" si="8"/>
        <v>0.18947889182058048</v>
      </c>
      <c r="S32" s="152">
        <f t="shared" si="9"/>
        <v>172.52777010080717</v>
      </c>
      <c r="T32" s="152">
        <f t="shared" si="10"/>
        <v>15</v>
      </c>
      <c r="U32" s="191">
        <f t="shared" si="11"/>
        <v>0.11874673629242821</v>
      </c>
      <c r="V32" s="191">
        <f t="shared" si="12"/>
        <v>0.37207310704960833</v>
      </c>
      <c r="W32" s="191">
        <f t="shared" si="13"/>
        <v>0.36430134502246247</v>
      </c>
      <c r="X32" s="175">
        <f t="shared" si="14"/>
        <v>350</v>
      </c>
      <c r="Y32" s="386">
        <f t="shared" si="54"/>
        <v>350</v>
      </c>
      <c r="AA32" s="191">
        <f t="shared" si="15"/>
        <v>0.46073894667618365</v>
      </c>
      <c r="AB32" s="153">
        <f t="shared" si="16"/>
        <v>1.4134941575574826</v>
      </c>
      <c r="AC32" s="153">
        <f t="shared" si="17"/>
        <v>0.11396906662504547</v>
      </c>
      <c r="AD32" s="153"/>
      <c r="AE32" s="153">
        <f t="shared" si="18"/>
        <v>0.46018276762402083</v>
      </c>
      <c r="AF32" s="317">
        <f t="shared" si="19"/>
        <v>782.2978723404259</v>
      </c>
      <c r="AG32" s="463">
        <f t="shared" si="20"/>
        <v>1.2079797650130546E-2</v>
      </c>
      <c r="AI32" s="153">
        <f t="shared" si="21"/>
        <v>0.23638616595073311</v>
      </c>
      <c r="AJ32" s="153">
        <f t="shared" si="22"/>
        <v>0.23638616595073311</v>
      </c>
      <c r="AK32" s="153">
        <f t="shared" si="23"/>
        <v>1.2575907773004886</v>
      </c>
      <c r="AM32" s="317">
        <f t="shared" si="24"/>
        <v>27.000000000000004</v>
      </c>
      <c r="AN32" s="147">
        <f t="shared" si="25"/>
        <v>350</v>
      </c>
      <c r="AP32">
        <f t="shared" si="26"/>
        <v>27.000000000000004</v>
      </c>
      <c r="AQ32" s="147">
        <f t="shared" si="27"/>
        <v>350</v>
      </c>
      <c r="AR32" s="147"/>
      <c r="AS32" s="5">
        <f t="shared" si="55"/>
        <v>2.8571428571428572</v>
      </c>
      <c r="AT32" s="5">
        <f t="shared" si="28"/>
        <v>0.74067665331229704</v>
      </c>
      <c r="AU32" s="5">
        <f t="shared" si="56"/>
        <v>2.1164662038305604</v>
      </c>
      <c r="AV32" s="5">
        <f t="shared" si="29"/>
        <v>0.72520560050159633</v>
      </c>
      <c r="AW32" s="153">
        <f t="shared" si="57"/>
        <v>0.25923682865930398</v>
      </c>
      <c r="AX32" s="153">
        <f t="shared" si="30"/>
        <v>0.4595999999999999</v>
      </c>
      <c r="AY32" s="153">
        <f t="shared" si="31"/>
        <v>8.7553082975366556E-2</v>
      </c>
      <c r="AZ32" s="153">
        <f t="shared" si="58"/>
        <v>5.2493868220415534</v>
      </c>
      <c r="BA32" s="147">
        <f t="shared" si="32"/>
        <v>3.3279803794703455</v>
      </c>
      <c r="BB32" s="147">
        <f t="shared" si="33"/>
        <v>1.1383356729599998</v>
      </c>
      <c r="BC32" s="5">
        <f t="shared" si="34"/>
        <v>8.4658648153222424E-2</v>
      </c>
      <c r="BD32" s="147">
        <f t="shared" si="35"/>
        <v>6.439398611491681</v>
      </c>
      <c r="BE32" s="5"/>
      <c r="BF32" s="153">
        <f t="shared" si="59"/>
        <v>6.9487994765189298E-2</v>
      </c>
      <c r="BG32" s="153">
        <f t="shared" si="36"/>
        <v>0.11746300865013719</v>
      </c>
      <c r="BH32" s="153"/>
      <c r="BI32" s="463">
        <f t="shared" si="37"/>
        <v>1.6900034957704412E-3</v>
      </c>
      <c r="BJ32" s="463">
        <f t="shared" si="38"/>
        <v>1.25426499653459E-2</v>
      </c>
      <c r="BK32" s="463">
        <f t="shared" si="39"/>
        <v>4.3749999999999995E-3</v>
      </c>
      <c r="BL32" s="463">
        <f t="shared" si="40"/>
        <v>1.6087792E-2</v>
      </c>
      <c r="BM32">
        <f t="shared" si="41"/>
        <v>4.3499999999999997E-3</v>
      </c>
      <c r="BN32">
        <f t="shared" si="42"/>
        <v>8.7499999999999992E-6</v>
      </c>
      <c r="BO32" s="463">
        <f t="shared" si="43"/>
        <v>3.9294598210584231E-2</v>
      </c>
      <c r="BP32" s="147">
        <f t="shared" si="60"/>
        <v>39.294598210584233</v>
      </c>
      <c r="BQ32" s="463">
        <f t="shared" si="44"/>
        <v>2.0855334618472644E-2</v>
      </c>
      <c r="BR32" s="463"/>
      <c r="BT32" s="147">
        <f t="shared" si="61"/>
        <v>20.855334618472643</v>
      </c>
      <c r="BU32" s="463">
        <f t="shared" si="45"/>
        <v>4.8285814164869753E-3</v>
      </c>
      <c r="BV32" s="463">
        <f t="shared" si="46"/>
        <v>1.3797558401142204E-2</v>
      </c>
      <c r="BW32" s="463">
        <f t="shared" si="47"/>
        <v>0</v>
      </c>
      <c r="BX32" s="463">
        <f t="shared" si="48"/>
        <v>2.0892408189029151E-2</v>
      </c>
      <c r="BY32" s="463">
        <f t="shared" si="49"/>
        <v>9.7787234042553198E-3</v>
      </c>
      <c r="BZ32" s="147">
        <f t="shared" si="62"/>
        <v>30.671131593284471</v>
      </c>
      <c r="CA32" s="153">
        <f t="shared" si="63"/>
        <v>9.0821064422341335E-2</v>
      </c>
      <c r="CB32" s="5">
        <f t="shared" si="64"/>
        <v>0.40500000000000003</v>
      </c>
      <c r="CC32" s="153">
        <f t="shared" si="65"/>
        <v>0.81682693427284536</v>
      </c>
      <c r="CD32" s="5">
        <f t="shared" si="66"/>
        <v>81.682693427284534</v>
      </c>
      <c r="CG32" s="59">
        <f t="shared" si="50"/>
        <v>-50</v>
      </c>
      <c r="CH32">
        <f t="shared" si="51"/>
        <v>-50</v>
      </c>
    </row>
    <row r="33" spans="5:86" x14ac:dyDescent="0.25">
      <c r="E33" s="150">
        <v>28</v>
      </c>
      <c r="F33" s="191">
        <f t="shared" si="52"/>
        <v>2.8000000000000004E-2</v>
      </c>
      <c r="G33" s="191"/>
      <c r="H33" s="191">
        <f t="shared" si="0"/>
        <v>0.42000000000000004</v>
      </c>
      <c r="I33" s="472">
        <f t="shared" si="1"/>
        <v>15</v>
      </c>
      <c r="J33" s="152">
        <f t="shared" si="2"/>
        <v>15.32</v>
      </c>
      <c r="K33" s="386">
        <f t="shared" si="3"/>
        <v>30.32</v>
      </c>
      <c r="L33" s="386"/>
      <c r="M33" s="191">
        <f t="shared" si="4"/>
        <v>0.50527704485488123</v>
      </c>
      <c r="N33" s="152">
        <f t="shared" si="5"/>
        <v>2.5579650395778364</v>
      </c>
      <c r="O33" s="152">
        <f t="shared" si="53"/>
        <v>0.42000000000000004</v>
      </c>
      <c r="P33" s="191">
        <f t="shared" si="6"/>
        <v>0.17053100263852242</v>
      </c>
      <c r="Q33" s="191">
        <f t="shared" si="7"/>
        <v>15</v>
      </c>
      <c r="R33" s="191">
        <f t="shared" si="8"/>
        <v>0.18947889182058048</v>
      </c>
      <c r="S33" s="152">
        <f t="shared" si="9"/>
        <v>165.83246055837344</v>
      </c>
      <c r="T33" s="152">
        <f t="shared" si="10"/>
        <v>15</v>
      </c>
      <c r="U33" s="191">
        <f t="shared" si="11"/>
        <v>0.12314476356251816</v>
      </c>
      <c r="V33" s="191">
        <f t="shared" si="12"/>
        <v>0.38585359249589024</v>
      </c>
      <c r="W33" s="191">
        <f t="shared" si="13"/>
        <v>0.37779398743070192</v>
      </c>
      <c r="X33" s="175">
        <f t="shared" si="14"/>
        <v>350</v>
      </c>
      <c r="Y33" s="386">
        <f t="shared" si="54"/>
        <v>350</v>
      </c>
      <c r="AA33" s="191">
        <f t="shared" si="15"/>
        <v>0.46073894667618365</v>
      </c>
      <c r="AB33" s="153">
        <f t="shared" si="16"/>
        <v>1.4134941575574826</v>
      </c>
      <c r="AC33" s="153">
        <f t="shared" si="17"/>
        <v>0.11396906662504547</v>
      </c>
      <c r="AD33" s="153"/>
      <c r="AE33" s="153">
        <f t="shared" si="18"/>
        <v>0.46018276762402083</v>
      </c>
      <c r="AF33" s="317">
        <f t="shared" si="19"/>
        <v>811.27186761229348</v>
      </c>
      <c r="AG33" s="463">
        <f t="shared" si="20"/>
        <v>1.2079797650130546E-2</v>
      </c>
      <c r="AI33" s="153">
        <f t="shared" si="21"/>
        <v>0.24072388860213942</v>
      </c>
      <c r="AJ33" s="153">
        <f t="shared" si="22"/>
        <v>0.24072388860213942</v>
      </c>
      <c r="AK33" s="153">
        <f t="shared" si="23"/>
        <v>1.2604825924014262</v>
      </c>
      <c r="AM33" s="317">
        <f t="shared" si="24"/>
        <v>28.000000000000004</v>
      </c>
      <c r="AN33" s="147">
        <f t="shared" si="25"/>
        <v>350</v>
      </c>
      <c r="AP33">
        <f t="shared" si="26"/>
        <v>28.000000000000004</v>
      </c>
      <c r="AQ33" s="147">
        <f t="shared" si="27"/>
        <v>350</v>
      </c>
      <c r="AR33" s="147"/>
      <c r="AS33" s="5">
        <f t="shared" si="55"/>
        <v>2.8571428571428572</v>
      </c>
      <c r="AT33" s="5">
        <f t="shared" si="28"/>
        <v>0.75426818428670339</v>
      </c>
      <c r="AU33" s="5">
        <f t="shared" si="56"/>
        <v>2.1028746728561538</v>
      </c>
      <c r="AV33" s="5">
        <f t="shared" si="29"/>
        <v>0.73851323526766</v>
      </c>
      <c r="AW33" s="153">
        <f t="shared" si="57"/>
        <v>0.26399386450034618</v>
      </c>
      <c r="AX33" s="153">
        <f t="shared" si="30"/>
        <v>0.47662222222222222</v>
      </c>
      <c r="AY33" s="153">
        <f t="shared" si="31"/>
        <v>8.8587129486254912E-2</v>
      </c>
      <c r="AZ33" s="153">
        <f t="shared" si="58"/>
        <v>5.3802648870813048</v>
      </c>
      <c r="BA33" s="147">
        <f t="shared" si="32"/>
        <v>3.3279803794703455</v>
      </c>
      <c r="BB33" s="147">
        <f t="shared" si="33"/>
        <v>1.2211072257896294</v>
      </c>
      <c r="BC33" s="5">
        <f t="shared" si="34"/>
        <v>8.7230356799958983E-2</v>
      </c>
      <c r="BD33" s="147">
        <f t="shared" si="35"/>
        <v>6.6356100933302571</v>
      </c>
      <c r="BE33" s="5"/>
      <c r="BF33" s="153">
        <f t="shared" si="59"/>
        <v>7.140941572759664E-2</v>
      </c>
      <c r="BG33" s="153">
        <f t="shared" si="36"/>
        <v>0.11923377119488848</v>
      </c>
      <c r="BH33" s="153"/>
      <c r="BI33" s="463">
        <f t="shared" si="37"/>
        <v>1.7847566290948541E-3</v>
      </c>
      <c r="BJ33" s="463">
        <f t="shared" si="38"/>
        <v>1.2772809529229519E-2</v>
      </c>
      <c r="BK33" s="463">
        <f t="shared" si="39"/>
        <v>4.3749999999999995E-3</v>
      </c>
      <c r="BL33" s="463">
        <f t="shared" si="40"/>
        <v>1.6087792E-2</v>
      </c>
      <c r="BM33">
        <f t="shared" si="41"/>
        <v>4.3499999999999997E-3</v>
      </c>
      <c r="BN33">
        <f t="shared" si="42"/>
        <v>8.7499999999999992E-6</v>
      </c>
      <c r="BO33" s="463">
        <f t="shared" si="43"/>
        <v>3.9633100991881783E-2</v>
      </c>
      <c r="BP33" s="147">
        <f t="shared" si="60"/>
        <v>39.633100991881783</v>
      </c>
      <c r="BQ33" s="463">
        <f t="shared" si="44"/>
        <v>2.1557552835723238E-2</v>
      </c>
      <c r="BR33" s="463"/>
      <c r="BT33" s="147">
        <f t="shared" si="61"/>
        <v>21.557552835723239</v>
      </c>
      <c r="BU33" s="463">
        <f t="shared" si="45"/>
        <v>5.0993046545567263E-3</v>
      </c>
      <c r="BV33" s="463">
        <f t="shared" si="46"/>
        <v>1.4216692193355019E-2</v>
      </c>
      <c r="BW33" s="463">
        <f t="shared" si="47"/>
        <v>0</v>
      </c>
      <c r="BX33" s="463">
        <f t="shared" si="48"/>
        <v>2.166739866200177E-2</v>
      </c>
      <c r="BY33" s="463">
        <f t="shared" si="49"/>
        <v>1.0140898345153667E-2</v>
      </c>
      <c r="BZ33" s="147">
        <f t="shared" si="62"/>
        <v>31.808297007155435</v>
      </c>
      <c r="CA33" s="153">
        <f t="shared" si="63"/>
        <v>9.2998950834760452E-2</v>
      </c>
      <c r="CB33" s="5">
        <f t="shared" si="64"/>
        <v>0.42000000000000004</v>
      </c>
      <c r="CC33" s="153">
        <f t="shared" si="65"/>
        <v>0.81871512469288477</v>
      </c>
      <c r="CD33" s="5">
        <f t="shared" si="66"/>
        <v>81.871512469288476</v>
      </c>
      <c r="CG33" s="59">
        <f t="shared" si="50"/>
        <v>-50</v>
      </c>
      <c r="CH33">
        <f t="shared" si="51"/>
        <v>-50</v>
      </c>
    </row>
    <row r="34" spans="5:86" x14ac:dyDescent="0.25">
      <c r="E34" s="150">
        <v>29</v>
      </c>
      <c r="F34" s="191">
        <f t="shared" si="52"/>
        <v>2.8999999999999998E-2</v>
      </c>
      <c r="G34" s="191"/>
      <c r="H34" s="191">
        <f t="shared" si="0"/>
        <v>0.43499999999999994</v>
      </c>
      <c r="I34" s="472">
        <f t="shared" si="1"/>
        <v>15</v>
      </c>
      <c r="J34" s="152">
        <f t="shared" si="2"/>
        <v>15.32</v>
      </c>
      <c r="K34" s="386">
        <f t="shared" si="3"/>
        <v>30.32</v>
      </c>
      <c r="L34" s="386"/>
      <c r="M34" s="191">
        <f t="shared" si="4"/>
        <v>0.50527704485488123</v>
      </c>
      <c r="N34" s="152">
        <f t="shared" si="5"/>
        <v>2.5579650395778364</v>
      </c>
      <c r="O34" s="152">
        <f t="shared" si="53"/>
        <v>0.43499999999999994</v>
      </c>
      <c r="P34" s="191">
        <f t="shared" si="6"/>
        <v>0.17053100263852242</v>
      </c>
      <c r="Q34" s="191">
        <f t="shared" si="7"/>
        <v>15</v>
      </c>
      <c r="R34" s="191">
        <f t="shared" si="8"/>
        <v>0.18947889182058048</v>
      </c>
      <c r="S34" s="152">
        <f t="shared" si="9"/>
        <v>159.59898071605332</v>
      </c>
      <c r="T34" s="152">
        <f t="shared" si="10"/>
        <v>15</v>
      </c>
      <c r="U34" s="191">
        <f t="shared" si="11"/>
        <v>0.12754279083260806</v>
      </c>
      <c r="V34" s="191">
        <f t="shared" si="12"/>
        <v>0.39963407794217193</v>
      </c>
      <c r="W34" s="191">
        <f t="shared" si="13"/>
        <v>0.39128662983894114</v>
      </c>
      <c r="X34" s="175">
        <f t="shared" si="14"/>
        <v>350</v>
      </c>
      <c r="Y34" s="386">
        <f t="shared" si="54"/>
        <v>350</v>
      </c>
      <c r="AA34" s="191">
        <f t="shared" si="15"/>
        <v>0.46073894667618365</v>
      </c>
      <c r="AB34" s="153">
        <f t="shared" si="16"/>
        <v>1.4134941575574826</v>
      </c>
      <c r="AC34" s="153">
        <f t="shared" si="17"/>
        <v>0.11396906662504547</v>
      </c>
      <c r="AD34" s="153"/>
      <c r="AE34" s="153">
        <f t="shared" si="18"/>
        <v>0.46018276762402083</v>
      </c>
      <c r="AF34" s="317">
        <f t="shared" si="19"/>
        <v>840.24586288416094</v>
      </c>
      <c r="AG34" s="463">
        <f t="shared" si="20"/>
        <v>1.2079797650130546E-2</v>
      </c>
      <c r="AI34" s="153">
        <f t="shared" si="21"/>
        <v>0.24498481919209383</v>
      </c>
      <c r="AJ34" s="153">
        <f t="shared" si="22"/>
        <v>0.24498481919209383</v>
      </c>
      <c r="AK34" s="153">
        <f t="shared" si="23"/>
        <v>1.2633232127947291</v>
      </c>
      <c r="AM34" s="317">
        <f t="shared" si="24"/>
        <v>28.999999999999996</v>
      </c>
      <c r="AN34" s="147">
        <f t="shared" si="25"/>
        <v>350</v>
      </c>
      <c r="AP34">
        <f t="shared" si="26"/>
        <v>28.999999999999996</v>
      </c>
      <c r="AQ34" s="147">
        <f t="shared" si="27"/>
        <v>350</v>
      </c>
      <c r="AR34" s="147"/>
      <c r="AS34" s="5">
        <f t="shared" si="55"/>
        <v>2.8571428571428572</v>
      </c>
      <c r="AT34" s="5">
        <f t="shared" si="28"/>
        <v>0.76761910013522727</v>
      </c>
      <c r="AU34" s="5">
        <f t="shared" si="56"/>
        <v>2.0895237570076297</v>
      </c>
      <c r="AV34" s="5">
        <f t="shared" si="29"/>
        <v>0.75158528081125386</v>
      </c>
      <c r="AW34" s="153">
        <f t="shared" si="57"/>
        <v>0.26866668504732955</v>
      </c>
      <c r="AX34" s="153">
        <f t="shared" si="30"/>
        <v>0.49364444444444439</v>
      </c>
      <c r="AY34" s="153">
        <f t="shared" si="31"/>
        <v>8.9582779966417281E-2</v>
      </c>
      <c r="AZ34" s="153">
        <f t="shared" si="58"/>
        <v>5.5104836513167088</v>
      </c>
      <c r="BA34" s="147">
        <f t="shared" si="32"/>
        <v>3.3279803794703455</v>
      </c>
      <c r="BB34" s="147">
        <f t="shared" si="33"/>
        <v>1.3067795623585177</v>
      </c>
      <c r="BC34" s="5">
        <f t="shared" si="34"/>
        <v>8.9772131782550016E-2</v>
      </c>
      <c r="BD34" s="147">
        <f t="shared" si="35"/>
        <v>6.8295765503579169</v>
      </c>
      <c r="BE34" s="5"/>
      <c r="BF34" s="153">
        <f t="shared" si="59"/>
        <v>7.3313753436826057E-2</v>
      </c>
      <c r="BG34" s="153">
        <f t="shared" si="36"/>
        <v>0.12095845334328054</v>
      </c>
      <c r="BH34" s="153"/>
      <c r="BI34" s="463">
        <f t="shared" si="37"/>
        <v>1.8812172550485035E-3</v>
      </c>
      <c r="BJ34" s="463">
        <f t="shared" si="38"/>
        <v>1.2998894506332499E-2</v>
      </c>
      <c r="BK34" s="463">
        <f t="shared" si="39"/>
        <v>4.3749999999999995E-3</v>
      </c>
      <c r="BL34" s="463">
        <f t="shared" si="40"/>
        <v>1.6087792E-2</v>
      </c>
      <c r="BM34">
        <f t="shared" si="41"/>
        <v>4.3499999999999997E-3</v>
      </c>
      <c r="BN34">
        <f t="shared" si="42"/>
        <v>8.7499999999999992E-6</v>
      </c>
      <c r="BO34" s="463">
        <f t="shared" si="43"/>
        <v>3.9969490884911307E-2</v>
      </c>
      <c r="BP34" s="147">
        <f t="shared" si="60"/>
        <v>39.969490884911309</v>
      </c>
      <c r="BQ34" s="463">
        <f t="shared" si="44"/>
        <v>2.2256043840491711E-2</v>
      </c>
      <c r="BR34" s="463"/>
      <c r="BT34" s="147">
        <f t="shared" si="61"/>
        <v>22.25604384049171</v>
      </c>
      <c r="BU34" s="463">
        <f t="shared" si="45"/>
        <v>5.3749064429957248E-3</v>
      </c>
      <c r="BV34" s="463">
        <f t="shared" si="46"/>
        <v>1.4630947435198575E-2</v>
      </c>
      <c r="BW34" s="463">
        <f t="shared" si="47"/>
        <v>0</v>
      </c>
      <c r="BX34" s="463">
        <f t="shared" si="48"/>
        <v>2.244247481332004E-2</v>
      </c>
      <c r="BY34" s="463">
        <f t="shared" si="49"/>
        <v>1.050307328605201E-2</v>
      </c>
      <c r="BZ34" s="147">
        <f t="shared" si="62"/>
        <v>32.945548099372047</v>
      </c>
      <c r="CA34" s="153">
        <f t="shared" si="63"/>
        <v>9.5171082824775072E-2</v>
      </c>
      <c r="CB34" s="5">
        <f t="shared" si="64"/>
        <v>0.43499999999999994</v>
      </c>
      <c r="CC34" s="153">
        <f t="shared" si="65"/>
        <v>0.82048986467217466</v>
      </c>
      <c r="CD34" s="5">
        <f t="shared" si="66"/>
        <v>82.04898646721746</v>
      </c>
      <c r="CG34" s="59">
        <f t="shared" si="50"/>
        <v>-50</v>
      </c>
      <c r="CH34">
        <f t="shared" si="51"/>
        <v>-50</v>
      </c>
    </row>
    <row r="35" spans="5:86" x14ac:dyDescent="0.25">
      <c r="E35" s="150">
        <v>30</v>
      </c>
      <c r="F35" s="191">
        <f t="shared" si="52"/>
        <v>0.03</v>
      </c>
      <c r="G35" s="191"/>
      <c r="H35" s="191">
        <f t="shared" si="0"/>
        <v>0.44999999999999996</v>
      </c>
      <c r="I35" s="472">
        <f t="shared" si="1"/>
        <v>15</v>
      </c>
      <c r="J35" s="152">
        <f t="shared" si="2"/>
        <v>15.32</v>
      </c>
      <c r="K35" s="386">
        <f t="shared" si="3"/>
        <v>30.32</v>
      </c>
      <c r="L35" s="386"/>
      <c r="M35" s="191">
        <f t="shared" si="4"/>
        <v>0.50527704485488123</v>
      </c>
      <c r="N35" s="152">
        <f t="shared" si="5"/>
        <v>2.5579650395778364</v>
      </c>
      <c r="O35" s="152">
        <f t="shared" si="53"/>
        <v>0.44999999999999996</v>
      </c>
      <c r="P35" s="191">
        <f t="shared" si="6"/>
        <v>0.17053100263852242</v>
      </c>
      <c r="Q35" s="191">
        <f t="shared" si="7"/>
        <v>15</v>
      </c>
      <c r="R35" s="191">
        <f t="shared" si="8"/>
        <v>0.18947889182058048</v>
      </c>
      <c r="S35" s="152">
        <f t="shared" si="9"/>
        <v>153.78114837268046</v>
      </c>
      <c r="T35" s="152">
        <f t="shared" si="10"/>
        <v>15</v>
      </c>
      <c r="U35" s="191">
        <f t="shared" si="11"/>
        <v>0.131940818102698</v>
      </c>
      <c r="V35" s="191">
        <f t="shared" si="12"/>
        <v>0.41341456338845373</v>
      </c>
      <c r="W35" s="191">
        <f t="shared" si="13"/>
        <v>0.40477927224718052</v>
      </c>
      <c r="X35" s="175">
        <f t="shared" si="14"/>
        <v>350</v>
      </c>
      <c r="Y35" s="386">
        <f t="shared" si="54"/>
        <v>350</v>
      </c>
      <c r="AA35" s="191">
        <f t="shared" si="15"/>
        <v>0.46073894667618365</v>
      </c>
      <c r="AB35" s="153">
        <f t="shared" si="16"/>
        <v>1.4134941575574826</v>
      </c>
      <c r="AC35" s="153">
        <f t="shared" si="17"/>
        <v>0.11396906662504547</v>
      </c>
      <c r="AD35" s="153"/>
      <c r="AE35" s="153">
        <f t="shared" si="18"/>
        <v>0.46018276762402083</v>
      </c>
      <c r="AF35" s="317">
        <f t="shared" si="19"/>
        <v>869.21985815602852</v>
      </c>
      <c r="AG35" s="463">
        <f t="shared" si="20"/>
        <v>1.2079797650130546E-2</v>
      </c>
      <c r="AI35" s="153">
        <f t="shared" si="21"/>
        <v>0.24917289725295283</v>
      </c>
      <c r="AJ35" s="153">
        <f t="shared" si="22"/>
        <v>0.24917289725295283</v>
      </c>
      <c r="AK35" s="153">
        <f t="shared" si="23"/>
        <v>1.2661152648353018</v>
      </c>
      <c r="AM35" s="317">
        <f t="shared" si="24"/>
        <v>30</v>
      </c>
      <c r="AN35" s="147">
        <f t="shared" si="25"/>
        <v>350</v>
      </c>
      <c r="AP35">
        <f t="shared" si="26"/>
        <v>30</v>
      </c>
      <c r="AQ35" s="147">
        <f t="shared" si="27"/>
        <v>350</v>
      </c>
      <c r="AR35" s="147"/>
      <c r="AS35" s="5">
        <f t="shared" si="55"/>
        <v>2.8571428571428572</v>
      </c>
      <c r="AT35" s="5">
        <f t="shared" si="28"/>
        <v>0.78074174472591884</v>
      </c>
      <c r="AU35" s="5">
        <f t="shared" si="56"/>
        <v>2.0764011124169386</v>
      </c>
      <c r="AV35" s="5">
        <f t="shared" si="29"/>
        <v>0.76443382316506403</v>
      </c>
      <c r="AW35" s="153">
        <f t="shared" si="57"/>
        <v>0.27325961065407156</v>
      </c>
      <c r="AX35" s="153">
        <f t="shared" si="30"/>
        <v>0.51066666666666649</v>
      </c>
      <c r="AY35" s="153">
        <f t="shared" si="31"/>
        <v>9.0542004182031982E-2</v>
      </c>
      <c r="AZ35" s="153">
        <f t="shared" si="58"/>
        <v>5.6401078292897786</v>
      </c>
      <c r="BA35" s="147">
        <f t="shared" si="32"/>
        <v>3.3279803794703455</v>
      </c>
      <c r="BB35" s="147">
        <f t="shared" si="33"/>
        <v>1.3953526826666662</v>
      </c>
      <c r="BC35" s="5">
        <f t="shared" si="34"/>
        <v>9.2284493885197272E-2</v>
      </c>
      <c r="BD35" s="147">
        <f t="shared" si="35"/>
        <v>7.0213370413897946</v>
      </c>
      <c r="BE35" s="5"/>
      <c r="BF35" s="153">
        <f t="shared" si="59"/>
        <v>7.5201741369861963E-2</v>
      </c>
      <c r="BG35" s="153">
        <f t="shared" si="36"/>
        <v>0.12263934525027949</v>
      </c>
      <c r="BH35" s="153"/>
      <c r="BI35" s="463">
        <f t="shared" si="37"/>
        <v>1.9793556667708628E-3</v>
      </c>
      <c r="BJ35" s="463">
        <f t="shared" si="38"/>
        <v>1.3221113928241679E-2</v>
      </c>
      <c r="BK35" s="463">
        <f t="shared" si="39"/>
        <v>4.3749999999999995E-3</v>
      </c>
      <c r="BL35" s="463">
        <f t="shared" si="40"/>
        <v>1.6087792E-2</v>
      </c>
      <c r="BM35">
        <f t="shared" si="41"/>
        <v>4.3499999999999997E-3</v>
      </c>
      <c r="BN35">
        <f t="shared" si="42"/>
        <v>8.7499999999999992E-6</v>
      </c>
      <c r="BO35" s="463">
        <f t="shared" si="43"/>
        <v>4.0303943252224236E-2</v>
      </c>
      <c r="BP35" s="147">
        <f t="shared" si="60"/>
        <v>40.303943252224236</v>
      </c>
      <c r="BQ35" s="463">
        <f t="shared" si="44"/>
        <v>2.295087247861078E-2</v>
      </c>
      <c r="BR35" s="463"/>
      <c r="BT35" s="147">
        <f t="shared" si="61"/>
        <v>22.95087247861078</v>
      </c>
      <c r="BU35" s="463">
        <f t="shared" si="45"/>
        <v>5.6553019050596086E-3</v>
      </c>
      <c r="BV35" s="463">
        <f t="shared" si="46"/>
        <v>1.504040900341725E-2</v>
      </c>
      <c r="BW35" s="463">
        <f t="shared" si="47"/>
        <v>0</v>
      </c>
      <c r="BX35" s="463">
        <f t="shared" si="48"/>
        <v>2.3217636657192908E-2</v>
      </c>
      <c r="BY35" s="463">
        <f t="shared" si="49"/>
        <v>1.0865248226950355E-2</v>
      </c>
      <c r="BZ35" s="147">
        <f t="shared" si="62"/>
        <v>34.082884884143269</v>
      </c>
      <c r="CA35" s="153">
        <f t="shared" si="63"/>
        <v>9.733770061497829E-2</v>
      </c>
      <c r="CB35" s="5">
        <f t="shared" si="64"/>
        <v>0.44999999999999996</v>
      </c>
      <c r="CC35" s="153">
        <f t="shared" si="65"/>
        <v>0.82216152750740268</v>
      </c>
      <c r="CD35" s="5">
        <f t="shared" si="66"/>
        <v>82.216152750740264</v>
      </c>
      <c r="CG35" s="59">
        <f t="shared" si="50"/>
        <v>-50</v>
      </c>
      <c r="CH35">
        <f t="shared" si="51"/>
        <v>-50</v>
      </c>
    </row>
    <row r="36" spans="5:86" x14ac:dyDescent="0.25">
      <c r="E36" s="150">
        <v>31</v>
      </c>
      <c r="F36" s="191">
        <f t="shared" si="52"/>
        <v>3.1E-2</v>
      </c>
      <c r="G36" s="191"/>
      <c r="H36" s="191">
        <f t="shared" si="0"/>
        <v>0.46499999999999997</v>
      </c>
      <c r="I36" s="472">
        <f t="shared" si="1"/>
        <v>15</v>
      </c>
      <c r="J36" s="152">
        <f t="shared" si="2"/>
        <v>15.32</v>
      </c>
      <c r="K36" s="386">
        <f t="shared" si="3"/>
        <v>30.32</v>
      </c>
      <c r="L36" s="386"/>
      <c r="M36" s="191">
        <f t="shared" si="4"/>
        <v>0.50527704485488123</v>
      </c>
      <c r="N36" s="152">
        <f t="shared" si="5"/>
        <v>2.5579650395778364</v>
      </c>
      <c r="O36" s="152">
        <f t="shared" si="53"/>
        <v>0.46499999999999997</v>
      </c>
      <c r="P36" s="191">
        <f t="shared" si="6"/>
        <v>0.17053100263852242</v>
      </c>
      <c r="Q36" s="191">
        <f t="shared" si="7"/>
        <v>15</v>
      </c>
      <c r="R36" s="191">
        <f t="shared" si="8"/>
        <v>0.18947889182058048</v>
      </c>
      <c r="S36" s="152">
        <f t="shared" si="9"/>
        <v>148.33874032992955</v>
      </c>
      <c r="T36" s="152">
        <f t="shared" si="10"/>
        <v>15</v>
      </c>
      <c r="U36" s="191">
        <f t="shared" si="11"/>
        <v>0.13633884537278793</v>
      </c>
      <c r="V36" s="191">
        <f t="shared" si="12"/>
        <v>0.42719504883473547</v>
      </c>
      <c r="W36" s="191">
        <f t="shared" si="13"/>
        <v>0.4182719146554198</v>
      </c>
      <c r="X36" s="175">
        <f t="shared" si="14"/>
        <v>350</v>
      </c>
      <c r="Y36" s="386">
        <f t="shared" si="54"/>
        <v>350</v>
      </c>
      <c r="AA36" s="191">
        <f t="shared" si="15"/>
        <v>0.46073894667618365</v>
      </c>
      <c r="AB36" s="153">
        <f t="shared" si="16"/>
        <v>1.4134941575574826</v>
      </c>
      <c r="AC36" s="153">
        <f t="shared" si="17"/>
        <v>0.11396906662504547</v>
      </c>
      <c r="AD36" s="153"/>
      <c r="AE36" s="153">
        <f t="shared" si="18"/>
        <v>0.46018276762402083</v>
      </c>
      <c r="AF36" s="317">
        <f t="shared" si="19"/>
        <v>898.19385342789622</v>
      </c>
      <c r="AG36" s="463">
        <f t="shared" si="20"/>
        <v>1.2079797650130546E-2</v>
      </c>
      <c r="AI36" s="153">
        <f t="shared" si="21"/>
        <v>0.25329173657322157</v>
      </c>
      <c r="AJ36" s="153">
        <f t="shared" si="22"/>
        <v>0.25329173657322157</v>
      </c>
      <c r="AK36" s="153">
        <f t="shared" si="23"/>
        <v>1.2688611577154809</v>
      </c>
      <c r="AM36" s="317">
        <f t="shared" si="24"/>
        <v>31</v>
      </c>
      <c r="AN36" s="147">
        <f t="shared" si="25"/>
        <v>350</v>
      </c>
      <c r="AP36">
        <f t="shared" si="26"/>
        <v>31</v>
      </c>
      <c r="AQ36" s="147">
        <f t="shared" si="27"/>
        <v>350</v>
      </c>
      <c r="AR36" s="147"/>
      <c r="AS36" s="5">
        <f t="shared" si="55"/>
        <v>2.8571428571428572</v>
      </c>
      <c r="AT36" s="5">
        <f t="shared" si="28"/>
        <v>0.79364744126276088</v>
      </c>
      <c r="AU36" s="5">
        <f t="shared" si="56"/>
        <v>2.0634954158800962</v>
      </c>
      <c r="AV36" s="5">
        <f t="shared" si="29"/>
        <v>0.7770699490170635</v>
      </c>
      <c r="AW36" s="153">
        <f t="shared" si="57"/>
        <v>0.27777660444196628</v>
      </c>
      <c r="AX36" s="153">
        <f t="shared" si="30"/>
        <v>0.52768888888888887</v>
      </c>
      <c r="AY36" s="153">
        <f t="shared" si="31"/>
        <v>9.1466609027351542E-2</v>
      </c>
      <c r="AZ36" s="153">
        <f t="shared" si="58"/>
        <v>5.7691970272024893</v>
      </c>
      <c r="BA36" s="147">
        <f t="shared" si="32"/>
        <v>3.3279803794703455</v>
      </c>
      <c r="BB36" s="147">
        <f t="shared" si="33"/>
        <v>1.4868265867140733</v>
      </c>
      <c r="BC36" s="5">
        <f t="shared" si="34"/>
        <v>9.4767937618197004E-2</v>
      </c>
      <c r="BD36" s="147">
        <f t="shared" si="35"/>
        <v>7.2109286546981082</v>
      </c>
      <c r="BE36" s="5"/>
      <c r="BF36" s="153">
        <f t="shared" si="59"/>
        <v>7.7074058191401687E-2</v>
      </c>
      <c r="BG36" s="153">
        <f t="shared" si="36"/>
        <v>0.12427854799871076</v>
      </c>
      <c r="BH36" s="153"/>
      <c r="BI36" s="463">
        <f t="shared" si="37"/>
        <v>2.0791436561320505E-3</v>
      </c>
      <c r="BJ36" s="463">
        <f t="shared" si="38"/>
        <v>1.3439659542575137E-2</v>
      </c>
      <c r="BK36" s="463">
        <f t="shared" si="39"/>
        <v>4.3749999999999995E-3</v>
      </c>
      <c r="BL36" s="463">
        <f t="shared" si="40"/>
        <v>1.6087792E-2</v>
      </c>
      <c r="BM36">
        <f t="shared" si="41"/>
        <v>4.3499999999999997E-3</v>
      </c>
      <c r="BN36">
        <f t="shared" si="42"/>
        <v>8.7499999999999992E-6</v>
      </c>
      <c r="BO36" s="463">
        <f t="shared" si="43"/>
        <v>4.0636617880362311E-2</v>
      </c>
      <c r="BP36" s="147">
        <f t="shared" si="60"/>
        <v>40.636617880362309</v>
      </c>
      <c r="BQ36" s="463">
        <f t="shared" si="44"/>
        <v>2.364210032439824E-2</v>
      </c>
      <c r="BR36" s="463"/>
      <c r="BT36" s="147">
        <f t="shared" si="61"/>
        <v>23.642100324398239</v>
      </c>
      <c r="BU36" s="463">
        <f t="shared" si="45"/>
        <v>5.9404104460915735E-3</v>
      </c>
      <c r="BV36" s="463">
        <f t="shared" si="46"/>
        <v>1.5445157492667854E-2</v>
      </c>
      <c r="BW36" s="463">
        <f t="shared" si="47"/>
        <v>0</v>
      </c>
      <c r="BX36" s="463">
        <f t="shared" si="48"/>
        <v>2.3992884207832434E-2</v>
      </c>
      <c r="BY36" s="463">
        <f t="shared" si="49"/>
        <v>1.1227423167848699E-2</v>
      </c>
      <c r="BZ36" s="147">
        <f t="shared" si="62"/>
        <v>35.220307375681131</v>
      </c>
      <c r="CA36" s="153">
        <f t="shared" si="63"/>
        <v>9.9499025580441686E-2</v>
      </c>
      <c r="CB36" s="5">
        <f t="shared" si="64"/>
        <v>0.46499999999999997</v>
      </c>
      <c r="CC36" s="153">
        <f t="shared" si="65"/>
        <v>0.82373924298960022</v>
      </c>
      <c r="CD36" s="5">
        <f t="shared" si="66"/>
        <v>82.37392429896002</v>
      </c>
      <c r="CG36" s="59">
        <f t="shared" si="50"/>
        <v>-50</v>
      </c>
      <c r="CH36">
        <f t="shared" si="51"/>
        <v>-50</v>
      </c>
    </row>
    <row r="37" spans="5:86" x14ac:dyDescent="0.25">
      <c r="E37" s="150">
        <v>32</v>
      </c>
      <c r="F37" s="191">
        <f t="shared" si="52"/>
        <v>3.2000000000000001E-2</v>
      </c>
      <c r="G37" s="191"/>
      <c r="H37" s="191">
        <f t="shared" ref="H37:H68" si="67">F37*Vout</f>
        <v>0.48</v>
      </c>
      <c r="I37" s="472">
        <f t="shared" ref="I37:I68" si="68">Vin</f>
        <v>15</v>
      </c>
      <c r="J37" s="152">
        <f t="shared" ref="J37:J68" si="69">(T37+Vfwd1)*Nps</f>
        <v>15.32</v>
      </c>
      <c r="K37" s="386">
        <f t="shared" ref="K37:K68" si="70">(Vout+Vfwd1)*Nps+I37</f>
        <v>30.32</v>
      </c>
      <c r="L37" s="386"/>
      <c r="M37" s="191">
        <f t="shared" ref="M37:M68" si="71">(Vout+Vfwd1)*Nps/((Vout+Vfwd1)*Nps+I37)</f>
        <v>0.50527704485488123</v>
      </c>
      <c r="N37" s="152">
        <f t="shared" ref="N37:N68" si="72">M37*I37*Isw_max*0.5*Efficiency</f>
        <v>2.5579650395778364</v>
      </c>
      <c r="O37" s="152">
        <f t="shared" si="53"/>
        <v>0.48</v>
      </c>
      <c r="P37" s="191">
        <f t="shared" ref="P37:P68" si="73">N37/Vout</f>
        <v>0.17053100263852242</v>
      </c>
      <c r="Q37" s="191">
        <f t="shared" ref="Q37:Q68" si="74">MIN(Vout,N37/F37)</f>
        <v>15</v>
      </c>
      <c r="R37" s="191">
        <f t="shared" ref="R37:R68" si="75">Isw_max/2*I37*Nps*(Q37+Vfwd1)/Q37/(I37+Nps*(Q37+Vfwd1))</f>
        <v>0.18947889182058048</v>
      </c>
      <c r="S37" s="152">
        <f t="shared" ref="S37:S68" si="76">(SQRT(Isw_max^2*Nps^2*I37^2+4*Isw_max*F37/Efficiency*(Nps^2*Vfwd1*I37-Nps*I37^2)+4*(F37/Efficiency)^2*Nps^2*Vfwd1^2+8*(F37/Efficiency)^2*Nps*Vfwd1*I37+4*(F37/Efficiency)^2*I37^2)-2*F37/Efficiency*I37-2*F37/Efficiency*Nps*Vfwd1+Isw_max*Nps*I37)/(4*F37/Efficiency*Nps)</f>
        <v>143.2365612982548</v>
      </c>
      <c r="T37" s="152">
        <f t="shared" ref="T37:T68" si="77">MIN(Vout, S37)</f>
        <v>15</v>
      </c>
      <c r="U37" s="191">
        <f t="shared" ref="U37:U68" si="78">MIN(2*Vout*F37/(Efficiency*I37*M37), Isw_max)</f>
        <v>0.14073687264287787</v>
      </c>
      <c r="V37" s="191">
        <f t="shared" ref="V37:V68" si="79">L*U37/I37*1000000</f>
        <v>0.44097553428101732</v>
      </c>
      <c r="W37" s="191">
        <f t="shared" ref="W37:W68" si="80">L*U37/J37*1000000</f>
        <v>0.43176455706365924</v>
      </c>
      <c r="X37" s="175">
        <f t="shared" ref="X37:X68" si="81">IF(1/((350000*L)*(1/I37+1/J37))&gt;Isw_min, 350, 0.001/((Isw_min*L)*(1/I37+1/J37)))</f>
        <v>350</v>
      </c>
      <c r="Y37" s="386">
        <f t="shared" si="54"/>
        <v>350</v>
      </c>
      <c r="AA37" s="191">
        <f t="shared" ref="AA37:AA68" si="82">1/((X37*1000*L)*(1/I37+1/J37))</f>
        <v>0.46073894667618365</v>
      </c>
      <c r="AB37" s="153">
        <f t="shared" ref="AB37:AB68" si="83">L*AA37/J37*1000000</f>
        <v>1.4134941575574826</v>
      </c>
      <c r="AC37" s="153">
        <f t="shared" ref="AC37:AC68" si="84">0.5*AB37*AA37*Nps*X37/1000</f>
        <v>0.11396906662504547</v>
      </c>
      <c r="AD37" s="153"/>
      <c r="AE37" s="153">
        <f t="shared" ref="AE37:AE68" si="85">L*Isw_min/J37*1000000</f>
        <v>0.46018276762402083</v>
      </c>
      <c r="AF37" s="317">
        <f t="shared" ref="AF37:AF68" si="86">MAX(12, F37/(0.5*AE37/1000000*Isw_min*Nps)/1000)</f>
        <v>927.16784869976391</v>
      </c>
      <c r="AG37" s="463">
        <f t="shared" ref="AG37:AG68" si="87">0.5*AE37/1000000*Isw_min*Nps*X37*1000</f>
        <v>1.2079797650130546E-2</v>
      </c>
      <c r="AI37" s="153">
        <f t="shared" ref="AI37:AI68" si="88">SQRT(F37/Efficiency/(0.5*L/J37*Fsw_DCM*Nps))</f>
        <v>0.25734466170318354</v>
      </c>
      <c r="AJ37" s="153">
        <f t="shared" ref="AJ37:AJ71" si="89">MAX(IF(F37&gt;AC37,U37,AI37),Isw_min)</f>
        <v>0.25734466170318354</v>
      </c>
      <c r="AK37" s="153">
        <f t="shared" ref="AK37:AK68" si="90">IF(F37&gt;AG37, (AJ37-Isw_min)/1.2*0.8+1.2, AF37*0.2/350+1)</f>
        <v>1.2715631078021223</v>
      </c>
      <c r="AM37" s="317">
        <f t="shared" ref="AM37:AM68" si="91">F37*1000</f>
        <v>32</v>
      </c>
      <c r="AN37" s="147">
        <f t="shared" ref="AN37:AN68" si="92">IF(F37&gt;AG37, Y37, AF37)</f>
        <v>350</v>
      </c>
      <c r="AP37">
        <f t="shared" ref="AP37:AP68" si="93">IF(H37&gt;N37, "",AM37)</f>
        <v>32</v>
      </c>
      <c r="AQ37" s="147">
        <f t="shared" ref="AQ37:AQ68" si="94">IF(H37&gt;N37, "",AN37)</f>
        <v>350</v>
      </c>
      <c r="AR37" s="147"/>
      <c r="AS37" s="5">
        <f t="shared" si="55"/>
        <v>2.8571428571428572</v>
      </c>
      <c r="AT37" s="5">
        <f t="shared" ref="AT37:AT68" si="95">L*AJ37/I37*1000000</f>
        <v>0.80634660666997504</v>
      </c>
      <c r="AU37" s="5">
        <f t="shared" si="56"/>
        <v>2.0507962504728821</v>
      </c>
      <c r="AV37" s="5">
        <f t="shared" ref="AV37:AV68" si="96">L*AJ37/J37*1000000</f>
        <v>0.78950385770558906</v>
      </c>
      <c r="AW37" s="153">
        <f t="shared" si="57"/>
        <v>0.28222131233449127</v>
      </c>
      <c r="AX37" s="153">
        <f t="shared" ref="AX37:AX68" si="97">0.5*L*AJ37^2*AN37*1000</f>
        <v>0.54471111111111126</v>
      </c>
      <c r="AY37" s="153">
        <f t="shared" ref="AY37:AY68" si="98">AJ37*Nps/2*(1-AW37)</f>
        <v>9.2358256777517703E-2</v>
      </c>
      <c r="AZ37" s="153">
        <f t="shared" si="58"/>
        <v>5.8978063263284488</v>
      </c>
      <c r="BA37" s="147">
        <f t="shared" ref="BA37:BA68" si="99">L*Isw_max^2/(2*Vout_ripple*Vout)*1000000000*((1+M37)/2)^2</f>
        <v>3.3279803794703455</v>
      </c>
      <c r="BB37" s="147">
        <f t="shared" ref="BB37:BB68" si="100">L*F37^2/(2*Cout*Vout*Nps^2)*1000000000*((1+M37)/(1-M37))^2+F37*RCoutEsr</f>
        <v>1.58120127450074</v>
      </c>
      <c r="BC37" s="5">
        <f t="shared" ref="BC37:BC68" si="101">H37/Efficiency/I37*AU37/Vinripple1</f>
        <v>9.722293335575144E-2</v>
      </c>
      <c r="BD37" s="147">
        <f t="shared" ref="BD37:BD68" si="102">((CB37/I37/Efficiency)*AU37/Cin+(CB37/I37/Efficiency)*RCinEsr)*1000</f>
        <v>7.3983866683480244</v>
      </c>
      <c r="BE37" s="5"/>
      <c r="BF37" s="153">
        <f t="shared" si="59"/>
        <v>7.8931333481100069E-2</v>
      </c>
      <c r="BG37" s="153">
        <f t="shared" ref="BG37:BG68" si="103">AJ37*Nps*SQRT((1-AW37)/3)</f>
        <v>0.12587799475657915</v>
      </c>
      <c r="BH37" s="153"/>
      <c r="BI37" s="463">
        <f t="shared" ref="BI37:BI68" si="104">Rdson*BF37^2</f>
        <v>2.18055439178662E-3</v>
      </c>
      <c r="BJ37" s="463">
        <f t="shared" ref="BJ37:BJ68" si="105">0.5*K37*AJ37*AN37*1000*Trise</f>
        <v>1.3654707749970919E-2</v>
      </c>
      <c r="BK37" s="463">
        <f t="shared" ref="BK37:BK68" si="106">Qg*Vdd*AN37*1000</f>
        <v>4.3749999999999995E-3</v>
      </c>
      <c r="BL37" s="463">
        <f t="shared" ref="BL37:BL68" si="107">0.5*(Coss+Csw)*K37^2*AN37*1000</f>
        <v>1.6087792E-2</v>
      </c>
      <c r="BM37">
        <f t="shared" ref="BM37:BM68" si="108">I37*IQ</f>
        <v>4.3499999999999997E-3</v>
      </c>
      <c r="BN37">
        <f t="shared" ref="BN37:BN68" si="109">(I37-Vdd)*Qg*AN37</f>
        <v>8.7499999999999992E-6</v>
      </c>
      <c r="BO37" s="463">
        <f t="shared" ref="BO37:BO68" si="110">(BJ37+BK37+BL37+BM37+BN37+BI37*(1+RdsonTC*(Ta-25)))/(1-BI37*RdsonTC*ThetaJA)</f>
        <v>4.0967660777879042E-2</v>
      </c>
      <c r="BP37" s="147">
        <f t="shared" si="60"/>
        <v>40.96766077787904</v>
      </c>
      <c r="BQ37" s="463">
        <f t="shared" ref="BQ37:BQ68" si="111">(Vfwd2*F37+BG37^2*Rdiode)*(1+Diode_TC/1000*(Ta-25))</f>
        <v>2.4329785946848152E-2</v>
      </c>
      <c r="BR37" s="463"/>
      <c r="BT37" s="147">
        <f t="shared" si="61"/>
        <v>24.329785946848151</v>
      </c>
      <c r="BU37" s="463">
        <f t="shared" ref="BU37:BU68" si="112">Rdcr_pri*BF37^2</f>
        <v>6.2301554051046289E-3</v>
      </c>
      <c r="BV37" s="463">
        <f t="shared" ref="BV37:BV68" si="113">Rdcr_sec*BG37^2</f>
        <v>1.5845269563937368E-2</v>
      </c>
      <c r="BW37" s="463">
        <f t="shared" ref="BW37:BW68" si="114">AJ37^2.5*AN37^2.5*k_core</f>
        <v>0</v>
      </c>
      <c r="BX37" s="463">
        <f t="shared" ref="BX37:BX68" si="115">(BW37+(BU37+BV37)*(1+Ltc*(Ta-25)))/(1-(BU37+BV37)*Ltc*ThetaCa)</f>
        <v>2.4768217479453805E-2</v>
      </c>
      <c r="BY37" s="463">
        <f t="shared" ref="BY37:BY68" si="116">0.5*Lleak*0.000000001*AJ37^2*AN37*1000</f>
        <v>1.1589598108747049E-2</v>
      </c>
      <c r="BZ37" s="147">
        <f t="shared" si="62"/>
        <v>36.35781558820085</v>
      </c>
      <c r="CA37" s="153">
        <f t="shared" si="63"/>
        <v>0.10165526231292804</v>
      </c>
      <c r="CB37" s="5">
        <f t="shared" si="64"/>
        <v>0.48</v>
      </c>
      <c r="CC37" s="153">
        <f t="shared" si="65"/>
        <v>0.82523107947360408</v>
      </c>
      <c r="CD37" s="5">
        <f t="shared" si="66"/>
        <v>82.523107947360401</v>
      </c>
      <c r="CG37" s="59">
        <f t="shared" ref="CG37:CG68" si="117">IF(ABS(F37-Ioutmax_Vinnom)&lt;Iout/200, AN37, -50)</f>
        <v>-50</v>
      </c>
      <c r="CH37">
        <f t="shared" ref="CH37:CH68" si="118">IF(ABS(F37-Ioutmax_Vinnom)&lt;Iout/200, N37*CC37, -50)</f>
        <v>-50</v>
      </c>
    </row>
    <row r="38" spans="5:86" x14ac:dyDescent="0.25">
      <c r="E38" s="150">
        <v>33</v>
      </c>
      <c r="F38" s="191">
        <f t="shared" ref="F38:F69" si="119">IF(PLOT_TYPE=1, E38/100*Iout_max, min_I*EXP(N38*rr/100))</f>
        <v>3.3000000000000002E-2</v>
      </c>
      <c r="G38" s="191"/>
      <c r="H38" s="191">
        <f t="shared" si="67"/>
        <v>0.495</v>
      </c>
      <c r="I38" s="472">
        <f t="shared" si="68"/>
        <v>15</v>
      </c>
      <c r="J38" s="152">
        <f t="shared" si="69"/>
        <v>15.32</v>
      </c>
      <c r="K38" s="386">
        <f t="shared" si="70"/>
        <v>30.32</v>
      </c>
      <c r="L38" s="386"/>
      <c r="M38" s="191">
        <f t="shared" si="71"/>
        <v>0.50527704485488123</v>
      </c>
      <c r="N38" s="152">
        <f t="shared" si="72"/>
        <v>2.5579650395778364</v>
      </c>
      <c r="O38" s="152">
        <f t="shared" si="53"/>
        <v>0.495</v>
      </c>
      <c r="P38" s="191">
        <f t="shared" si="73"/>
        <v>0.17053100263852242</v>
      </c>
      <c r="Q38" s="191">
        <f t="shared" si="74"/>
        <v>15</v>
      </c>
      <c r="R38" s="191">
        <f t="shared" si="75"/>
        <v>0.18947889182058048</v>
      </c>
      <c r="S38" s="152">
        <f t="shared" si="76"/>
        <v>138.44368209266008</v>
      </c>
      <c r="T38" s="152">
        <f t="shared" si="77"/>
        <v>15</v>
      </c>
      <c r="U38" s="191">
        <f t="shared" si="78"/>
        <v>0.14513489991296782</v>
      </c>
      <c r="V38" s="191">
        <f t="shared" si="79"/>
        <v>0.45475601972729918</v>
      </c>
      <c r="W38" s="191">
        <f t="shared" si="80"/>
        <v>0.44525719947189868</v>
      </c>
      <c r="X38" s="175">
        <f t="shared" si="81"/>
        <v>350</v>
      </c>
      <c r="Y38" s="386">
        <f t="shared" si="54"/>
        <v>350</v>
      </c>
      <c r="AA38" s="191">
        <f t="shared" si="82"/>
        <v>0.46073894667618365</v>
      </c>
      <c r="AB38" s="153">
        <f t="shared" si="83"/>
        <v>1.4134941575574826</v>
      </c>
      <c r="AC38" s="153">
        <f t="shared" si="84"/>
        <v>0.11396906662504547</v>
      </c>
      <c r="AD38" s="153"/>
      <c r="AE38" s="153">
        <f t="shared" si="85"/>
        <v>0.46018276762402083</v>
      </c>
      <c r="AF38" s="317">
        <f t="shared" si="86"/>
        <v>956.14184397163149</v>
      </c>
      <c r="AG38" s="463">
        <f t="shared" si="87"/>
        <v>1.2079797650130546E-2</v>
      </c>
      <c r="AI38" s="153">
        <f t="shared" si="88"/>
        <v>0.26133473936308899</v>
      </c>
      <c r="AJ38" s="153">
        <f t="shared" si="89"/>
        <v>0.26133473936308899</v>
      </c>
      <c r="AK38" s="153">
        <f t="shared" si="90"/>
        <v>1.2742231595753926</v>
      </c>
      <c r="AM38" s="317">
        <f t="shared" si="91"/>
        <v>33</v>
      </c>
      <c r="AN38" s="147">
        <f t="shared" si="92"/>
        <v>350</v>
      </c>
      <c r="AP38">
        <f t="shared" si="93"/>
        <v>33</v>
      </c>
      <c r="AQ38" s="147">
        <f t="shared" si="94"/>
        <v>350</v>
      </c>
      <c r="AR38" s="147"/>
      <c r="AS38" s="5">
        <f t="shared" si="55"/>
        <v>2.8571428571428572</v>
      </c>
      <c r="AT38" s="5">
        <f t="shared" si="95"/>
        <v>0.81884885000434549</v>
      </c>
      <c r="AU38" s="5">
        <f t="shared" si="56"/>
        <v>2.0382940071385116</v>
      </c>
      <c r="AV38" s="5">
        <f t="shared" si="96"/>
        <v>0.80174495757605635</v>
      </c>
      <c r="AW38" s="153">
        <f t="shared" si="57"/>
        <v>0.2865970975015209</v>
      </c>
      <c r="AX38" s="153">
        <f t="shared" si="97"/>
        <v>0.56173333333333331</v>
      </c>
      <c r="AY38" s="153">
        <f t="shared" si="98"/>
        <v>9.3218480792655614E-2</v>
      </c>
      <c r="AZ38" s="153">
        <f t="shared" si="58"/>
        <v>6.0259867845603257</v>
      </c>
      <c r="BA38" s="147">
        <f t="shared" si="99"/>
        <v>3.3279803794703455</v>
      </c>
      <c r="BB38" s="147">
        <f t="shared" si="100"/>
        <v>1.6784767460266661</v>
      </c>
      <c r="BC38" s="5">
        <f t="shared" si="101"/>
        <v>9.9649929237882781E-2</v>
      </c>
      <c r="BD38" s="147">
        <f t="shared" si="102"/>
        <v>7.5837446928412096</v>
      </c>
      <c r="BE38" s="5"/>
      <c r="BF38" s="153">
        <f t="shared" si="59"/>
        <v>8.0774152702520113E-2</v>
      </c>
      <c r="BG38" s="153">
        <f t="shared" si="103"/>
        <v>0.12743946898239381</v>
      </c>
      <c r="BH38" s="153"/>
      <c r="BI38" s="463">
        <f t="shared" si="104"/>
        <v>2.283562310683513E-3</v>
      </c>
      <c r="BJ38" s="463">
        <f t="shared" si="105"/>
        <v>1.38664212706055E-2</v>
      </c>
      <c r="BK38" s="463">
        <f t="shared" si="106"/>
        <v>4.3749999999999995E-3</v>
      </c>
      <c r="BL38" s="463">
        <f t="shared" si="107"/>
        <v>1.6087792E-2</v>
      </c>
      <c r="BM38">
        <f t="shared" si="108"/>
        <v>4.3499999999999997E-3</v>
      </c>
      <c r="BN38">
        <f t="shared" si="109"/>
        <v>8.7499999999999992E-6</v>
      </c>
      <c r="BO38" s="463">
        <f t="shared" si="110"/>
        <v>4.1297205718225254E-2</v>
      </c>
      <c r="BP38" s="147">
        <f t="shared" si="60"/>
        <v>41.297205718225257</v>
      </c>
      <c r="BQ38" s="463">
        <f t="shared" si="111"/>
        <v>2.5013985146449091E-2</v>
      </c>
      <c r="BR38" s="463"/>
      <c r="BT38" s="147">
        <f t="shared" si="61"/>
        <v>25.013985146449091</v>
      </c>
      <c r="BU38" s="463">
        <f t="shared" si="112"/>
        <v>6.5244637448100377E-3</v>
      </c>
      <c r="BV38" s="463">
        <f t="shared" si="113"/>
        <v>1.6240818254514514E-2</v>
      </c>
      <c r="BW38" s="463">
        <f t="shared" si="114"/>
        <v>0</v>
      </c>
      <c r="BX38" s="463">
        <f t="shared" si="115"/>
        <v>2.5543636486275365E-2</v>
      </c>
      <c r="BY38" s="463">
        <f t="shared" si="116"/>
        <v>1.1951773049645391E-2</v>
      </c>
      <c r="BZ38" s="147">
        <f t="shared" si="62"/>
        <v>37.495409535920757</v>
      </c>
      <c r="CA38" s="153">
        <f t="shared" si="63"/>
        <v>0.10380660040059511</v>
      </c>
      <c r="CB38" s="5">
        <f t="shared" si="64"/>
        <v>0.495</v>
      </c>
      <c r="CC38" s="153">
        <f t="shared" si="65"/>
        <v>0.82664419475144457</v>
      </c>
      <c r="CD38" s="5">
        <f t="shared" si="66"/>
        <v>82.664419475144456</v>
      </c>
      <c r="CG38" s="59">
        <f t="shared" si="117"/>
        <v>-50</v>
      </c>
      <c r="CH38">
        <f t="shared" si="118"/>
        <v>-50</v>
      </c>
    </row>
    <row r="39" spans="5:86" x14ac:dyDescent="0.25">
      <c r="E39" s="150">
        <v>34</v>
      </c>
      <c r="F39" s="191">
        <f t="shared" si="119"/>
        <v>3.4000000000000002E-2</v>
      </c>
      <c r="G39" s="191"/>
      <c r="H39" s="191">
        <f t="shared" si="67"/>
        <v>0.51</v>
      </c>
      <c r="I39" s="472">
        <f t="shared" si="68"/>
        <v>15</v>
      </c>
      <c r="J39" s="152">
        <f t="shared" si="69"/>
        <v>15.32</v>
      </c>
      <c r="K39" s="386">
        <f t="shared" si="70"/>
        <v>30.32</v>
      </c>
      <c r="L39" s="386"/>
      <c r="M39" s="191">
        <f t="shared" si="71"/>
        <v>0.50527704485488123</v>
      </c>
      <c r="N39" s="152">
        <f t="shared" si="72"/>
        <v>2.5579650395778364</v>
      </c>
      <c r="O39" s="152">
        <f t="shared" si="53"/>
        <v>0.51</v>
      </c>
      <c r="P39" s="191">
        <f t="shared" si="73"/>
        <v>0.17053100263852242</v>
      </c>
      <c r="Q39" s="191">
        <f t="shared" si="74"/>
        <v>15</v>
      </c>
      <c r="R39" s="191">
        <f t="shared" si="75"/>
        <v>0.18947889182058048</v>
      </c>
      <c r="S39" s="152">
        <f t="shared" si="76"/>
        <v>133.93281226451165</v>
      </c>
      <c r="T39" s="152">
        <f t="shared" si="77"/>
        <v>15</v>
      </c>
      <c r="U39" s="191">
        <f t="shared" si="78"/>
        <v>0.14953292718305775</v>
      </c>
      <c r="V39" s="191">
        <f t="shared" si="79"/>
        <v>0.46853650517358092</v>
      </c>
      <c r="W39" s="191">
        <f t="shared" si="80"/>
        <v>0.45874984188013795</v>
      </c>
      <c r="X39" s="175">
        <f t="shared" si="81"/>
        <v>350</v>
      </c>
      <c r="Y39" s="386">
        <f t="shared" si="54"/>
        <v>350</v>
      </c>
      <c r="AA39" s="191">
        <f t="shared" si="82"/>
        <v>0.46073894667618365</v>
      </c>
      <c r="AB39" s="153">
        <f t="shared" si="83"/>
        <v>1.4134941575574826</v>
      </c>
      <c r="AC39" s="153">
        <f t="shared" si="84"/>
        <v>0.11396906662504547</v>
      </c>
      <c r="AD39" s="153"/>
      <c r="AE39" s="153">
        <f t="shared" si="85"/>
        <v>0.46018276762402083</v>
      </c>
      <c r="AF39" s="317">
        <f t="shared" si="86"/>
        <v>985.11583924349907</v>
      </c>
      <c r="AG39" s="463">
        <f t="shared" si="87"/>
        <v>1.2079797650130546E-2</v>
      </c>
      <c r="AI39" s="153">
        <f t="shared" si="88"/>
        <v>0.26526480559776744</v>
      </c>
      <c r="AJ39" s="153">
        <f t="shared" si="89"/>
        <v>0.26526480559776744</v>
      </c>
      <c r="AK39" s="153">
        <f t="shared" si="90"/>
        <v>1.2768432037318449</v>
      </c>
      <c r="AM39" s="317">
        <f t="shared" si="91"/>
        <v>34</v>
      </c>
      <c r="AN39" s="147">
        <f t="shared" si="92"/>
        <v>350</v>
      </c>
      <c r="AP39">
        <f t="shared" si="93"/>
        <v>34</v>
      </c>
      <c r="AQ39" s="147">
        <f t="shared" si="94"/>
        <v>350</v>
      </c>
      <c r="AR39" s="147"/>
      <c r="AS39" s="5">
        <f t="shared" si="55"/>
        <v>2.8571428571428572</v>
      </c>
      <c r="AT39" s="5">
        <f t="shared" si="95"/>
        <v>0.83116305753967124</v>
      </c>
      <c r="AU39" s="5">
        <f t="shared" si="56"/>
        <v>2.0259797996031859</v>
      </c>
      <c r="AV39" s="5">
        <f t="shared" si="96"/>
        <v>0.81380194928818983</v>
      </c>
      <c r="AW39" s="153">
        <f t="shared" si="57"/>
        <v>0.29090707013888495</v>
      </c>
      <c r="AX39" s="153">
        <f t="shared" si="97"/>
        <v>0.57875555555555558</v>
      </c>
      <c r="AY39" s="153">
        <f t="shared" si="98"/>
        <v>9.4048699095180016E-2</v>
      </c>
      <c r="AZ39" s="153">
        <f t="shared" si="58"/>
        <v>6.1537858696996768</v>
      </c>
      <c r="BA39" s="147">
        <f t="shared" si="99"/>
        <v>3.3279803794703455</v>
      </c>
      <c r="BB39" s="147">
        <f t="shared" si="100"/>
        <v>1.7786530012918513</v>
      </c>
      <c r="BC39" s="5">
        <f t="shared" si="101"/>
        <v>0.10204935286890121</v>
      </c>
      <c r="BD39" s="147">
        <f t="shared" si="102"/>
        <v>7.7670347985009238</v>
      </c>
      <c r="BE39" s="5"/>
      <c r="BF39" s="153">
        <f t="shared" si="59"/>
        <v>8.2603061534081257E-2</v>
      </c>
      <c r="BG39" s="153">
        <f t="shared" si="103"/>
        <v>0.12896462016694307</v>
      </c>
      <c r="BH39" s="153"/>
      <c r="BI39" s="463">
        <f t="shared" si="104"/>
        <v>2.3881430211811251E-3</v>
      </c>
      <c r="BJ39" s="463">
        <f t="shared" si="105"/>
        <v>1.4074950585017541E-2</v>
      </c>
      <c r="BK39" s="463">
        <f t="shared" si="106"/>
        <v>4.3749999999999995E-3</v>
      </c>
      <c r="BL39" s="463">
        <f t="shared" si="107"/>
        <v>1.6087792E-2</v>
      </c>
      <c r="BM39">
        <f t="shared" si="108"/>
        <v>4.3499999999999997E-3</v>
      </c>
      <c r="BN39">
        <f t="shared" si="109"/>
        <v>8.7499999999999992E-6</v>
      </c>
      <c r="BO39" s="463">
        <f t="shared" si="110"/>
        <v>4.1625375570164845E-2</v>
      </c>
      <c r="BP39" s="147">
        <f t="shared" si="60"/>
        <v>41.625375570164842</v>
      </c>
      <c r="BQ39" s="463">
        <f t="shared" si="111"/>
        <v>2.5694751166670179E-2</v>
      </c>
      <c r="BR39" s="463"/>
      <c r="BT39" s="147">
        <f t="shared" si="61"/>
        <v>25.69475116667018</v>
      </c>
      <c r="BU39" s="463">
        <f t="shared" si="112"/>
        <v>6.8232657748032149E-3</v>
      </c>
      <c r="BV39" s="463">
        <f t="shared" si="113"/>
        <v>1.6631873254803899E-2</v>
      </c>
      <c r="BW39" s="463">
        <f t="shared" si="114"/>
        <v>0</v>
      </c>
      <c r="BX39" s="463">
        <f t="shared" si="115"/>
        <v>2.6319141242518624E-2</v>
      </c>
      <c r="BY39" s="463">
        <f t="shared" si="116"/>
        <v>1.2313947990543739E-2</v>
      </c>
      <c r="BZ39" s="147">
        <f t="shared" si="62"/>
        <v>38.633089233062364</v>
      </c>
      <c r="CA39" s="153">
        <f t="shared" si="63"/>
        <v>0.10595321596989737</v>
      </c>
      <c r="CB39" s="5">
        <f t="shared" si="64"/>
        <v>0.51</v>
      </c>
      <c r="CC39" s="153">
        <f t="shared" si="65"/>
        <v>0.82798496180743142</v>
      </c>
      <c r="CD39" s="5">
        <f t="shared" si="66"/>
        <v>82.798496180743143</v>
      </c>
      <c r="CG39" s="59">
        <f t="shared" si="117"/>
        <v>-50</v>
      </c>
      <c r="CH39">
        <f t="shared" si="118"/>
        <v>-50</v>
      </c>
    </row>
    <row r="40" spans="5:86" x14ac:dyDescent="0.25">
      <c r="E40" s="150">
        <v>35</v>
      </c>
      <c r="F40" s="191">
        <f t="shared" si="119"/>
        <v>3.4999999999999996E-2</v>
      </c>
      <c r="G40" s="191"/>
      <c r="H40" s="191">
        <f t="shared" si="67"/>
        <v>0.52499999999999991</v>
      </c>
      <c r="I40" s="472">
        <f t="shared" si="68"/>
        <v>15</v>
      </c>
      <c r="J40" s="152">
        <f t="shared" si="69"/>
        <v>15.32</v>
      </c>
      <c r="K40" s="386">
        <f t="shared" si="70"/>
        <v>30.32</v>
      </c>
      <c r="L40" s="386"/>
      <c r="M40" s="191">
        <f t="shared" si="71"/>
        <v>0.50527704485488123</v>
      </c>
      <c r="N40" s="152">
        <f t="shared" si="72"/>
        <v>2.5579650395778364</v>
      </c>
      <c r="O40" s="152">
        <f t="shared" si="53"/>
        <v>0.52499999999999991</v>
      </c>
      <c r="P40" s="191">
        <f t="shared" si="73"/>
        <v>0.17053100263852242</v>
      </c>
      <c r="Q40" s="191">
        <f t="shared" si="74"/>
        <v>15</v>
      </c>
      <c r="R40" s="191">
        <f t="shared" si="75"/>
        <v>0.18947889182058048</v>
      </c>
      <c r="S40" s="152">
        <f t="shared" si="76"/>
        <v>129.67978028218542</v>
      </c>
      <c r="T40" s="152">
        <f t="shared" si="77"/>
        <v>15</v>
      </c>
      <c r="U40" s="191">
        <f t="shared" si="78"/>
        <v>0.15393095445314767</v>
      </c>
      <c r="V40" s="191">
        <f t="shared" si="79"/>
        <v>0.48231699061986266</v>
      </c>
      <c r="W40" s="191">
        <f t="shared" si="80"/>
        <v>0.47224248428837728</v>
      </c>
      <c r="X40" s="175">
        <f t="shared" si="81"/>
        <v>350</v>
      </c>
      <c r="Y40" s="386">
        <f t="shared" si="54"/>
        <v>350</v>
      </c>
      <c r="AA40" s="191">
        <f t="shared" si="82"/>
        <v>0.46073894667618365</v>
      </c>
      <c r="AB40" s="153">
        <f t="shared" si="83"/>
        <v>1.4134941575574826</v>
      </c>
      <c r="AC40" s="153">
        <f t="shared" si="84"/>
        <v>0.11396906662504547</v>
      </c>
      <c r="AD40" s="153"/>
      <c r="AE40" s="153">
        <f t="shared" si="85"/>
        <v>0.46018276762402083</v>
      </c>
      <c r="AF40" s="317">
        <f t="shared" si="86"/>
        <v>1014.0898345153665</v>
      </c>
      <c r="AG40" s="463">
        <f t="shared" si="87"/>
        <v>1.2079797650130546E-2</v>
      </c>
      <c r="AI40" s="153">
        <f t="shared" si="88"/>
        <v>0.26913748936123527</v>
      </c>
      <c r="AJ40" s="153">
        <f t="shared" si="89"/>
        <v>0.26913748936123527</v>
      </c>
      <c r="AK40" s="153">
        <f t="shared" si="90"/>
        <v>1.2794249929074901</v>
      </c>
      <c r="AM40" s="317">
        <f t="shared" si="91"/>
        <v>34.999999999999993</v>
      </c>
      <c r="AN40" s="147">
        <f t="shared" si="92"/>
        <v>350</v>
      </c>
      <c r="AP40">
        <f t="shared" si="93"/>
        <v>34.999999999999993</v>
      </c>
      <c r="AQ40" s="147">
        <f t="shared" si="94"/>
        <v>350</v>
      </c>
      <c r="AR40" s="147"/>
      <c r="AS40" s="5">
        <f t="shared" si="55"/>
        <v>2.8571428571428572</v>
      </c>
      <c r="AT40" s="5">
        <f t="shared" si="95"/>
        <v>0.84329746666520389</v>
      </c>
      <c r="AU40" s="5">
        <f t="shared" si="56"/>
        <v>2.0138453904776532</v>
      </c>
      <c r="AV40" s="5">
        <f t="shared" si="96"/>
        <v>0.82568289817089147</v>
      </c>
      <c r="AW40" s="153">
        <f t="shared" si="57"/>
        <v>0.29515411333282138</v>
      </c>
      <c r="AX40" s="153">
        <f t="shared" si="97"/>
        <v>0.59577777777777774</v>
      </c>
      <c r="AY40" s="153">
        <f t="shared" si="98"/>
        <v>9.4850226162099108E-2</v>
      </c>
      <c r="AZ40" s="153">
        <f t="shared" si="58"/>
        <v>6.2812478355042938</v>
      </c>
      <c r="BA40" s="147">
        <f t="shared" si="99"/>
        <v>3.3279803794703455</v>
      </c>
      <c r="BB40" s="147">
        <f t="shared" si="100"/>
        <v>1.8817300402962953</v>
      </c>
      <c r="BC40" s="5">
        <f t="shared" si="101"/>
        <v>0.104421612839582</v>
      </c>
      <c r="BD40" s="147">
        <f t="shared" si="102"/>
        <v>7.948287629635316</v>
      </c>
      <c r="BE40" s="5"/>
      <c r="BF40" s="153">
        <f t="shared" si="59"/>
        <v>8.4418569660242415E-2</v>
      </c>
      <c r="BG40" s="153">
        <f t="shared" si="103"/>
        <v>0.13045497750721691</v>
      </c>
      <c r="BH40" s="153"/>
      <c r="BI40" s="463">
        <f t="shared" si="104"/>
        <v>2.4942732162184203E-3</v>
      </c>
      <c r="BJ40" s="463">
        <f t="shared" si="105"/>
        <v>1.4280435185507142E-2</v>
      </c>
      <c r="BK40" s="463">
        <f t="shared" si="106"/>
        <v>4.3749999999999995E-3</v>
      </c>
      <c r="BL40" s="463">
        <f t="shared" si="107"/>
        <v>1.6087792E-2</v>
      </c>
      <c r="BM40">
        <f t="shared" si="108"/>
        <v>4.3499999999999997E-3</v>
      </c>
      <c r="BN40">
        <f t="shared" si="109"/>
        <v>8.7499999999999992E-6</v>
      </c>
      <c r="BO40" s="463">
        <f t="shared" si="110"/>
        <v>4.1952283450225843E-2</v>
      </c>
      <c r="BP40" s="147">
        <f t="shared" si="60"/>
        <v>41.952283450225842</v>
      </c>
      <c r="BQ40" s="463">
        <f t="shared" si="111"/>
        <v>2.637213488349607E-2</v>
      </c>
      <c r="BR40" s="463"/>
      <c r="BT40" s="147">
        <f t="shared" si="61"/>
        <v>26.37213488349607</v>
      </c>
      <c r="BU40" s="463">
        <f t="shared" si="112"/>
        <v>7.126494903481201E-3</v>
      </c>
      <c r="BV40" s="463">
        <f t="shared" si="113"/>
        <v>1.7018501156408468E-2</v>
      </c>
      <c r="BW40" s="463">
        <f t="shared" si="114"/>
        <v>0</v>
      </c>
      <c r="BX40" s="463">
        <f t="shared" si="115"/>
        <v>2.7094731762408199E-2</v>
      </c>
      <c r="BY40" s="463">
        <f t="shared" si="116"/>
        <v>1.2676122931442083E-2</v>
      </c>
      <c r="BZ40" s="147">
        <f t="shared" si="62"/>
        <v>39.770854693850282</v>
      </c>
      <c r="CA40" s="153">
        <f t="shared" si="63"/>
        <v>0.1080952730275722</v>
      </c>
      <c r="CB40" s="5">
        <f t="shared" si="64"/>
        <v>0.52499999999999991</v>
      </c>
      <c r="CC40" s="153">
        <f t="shared" si="65"/>
        <v>0.8292590742138356</v>
      </c>
      <c r="CD40" s="5">
        <f t="shared" si="66"/>
        <v>82.925907421383556</v>
      </c>
      <c r="CG40" s="59">
        <f t="shared" si="117"/>
        <v>-50</v>
      </c>
      <c r="CH40">
        <f t="shared" si="118"/>
        <v>-50</v>
      </c>
    </row>
    <row r="41" spans="5:86" x14ac:dyDescent="0.25">
      <c r="E41" s="150">
        <v>36</v>
      </c>
      <c r="F41" s="191">
        <f t="shared" si="119"/>
        <v>3.5999999999999997E-2</v>
      </c>
      <c r="G41" s="191"/>
      <c r="H41" s="191">
        <f t="shared" si="67"/>
        <v>0.53999999999999992</v>
      </c>
      <c r="I41" s="472">
        <f t="shared" si="68"/>
        <v>15</v>
      </c>
      <c r="J41" s="152">
        <f t="shared" si="69"/>
        <v>15.32</v>
      </c>
      <c r="K41" s="386">
        <f t="shared" si="70"/>
        <v>30.32</v>
      </c>
      <c r="L41" s="386"/>
      <c r="M41" s="191">
        <f t="shared" si="71"/>
        <v>0.50527704485488123</v>
      </c>
      <c r="N41" s="152">
        <f t="shared" si="72"/>
        <v>2.5579650395778364</v>
      </c>
      <c r="O41" s="152">
        <f t="shared" si="53"/>
        <v>0.53999999999999992</v>
      </c>
      <c r="P41" s="191">
        <f t="shared" si="73"/>
        <v>0.17053100263852242</v>
      </c>
      <c r="Q41" s="191">
        <f t="shared" si="74"/>
        <v>15</v>
      </c>
      <c r="R41" s="191">
        <f t="shared" si="75"/>
        <v>0.18947889182058048</v>
      </c>
      <c r="S41" s="152">
        <f t="shared" si="76"/>
        <v>125.66310034827477</v>
      </c>
      <c r="T41" s="152">
        <f t="shared" si="77"/>
        <v>15</v>
      </c>
      <c r="U41" s="191">
        <f t="shared" si="78"/>
        <v>0.15832898172323759</v>
      </c>
      <c r="V41" s="191">
        <f t="shared" si="79"/>
        <v>0.49609747606614446</v>
      </c>
      <c r="W41" s="191">
        <f t="shared" si="80"/>
        <v>0.48573512669661661</v>
      </c>
      <c r="X41" s="175">
        <f t="shared" si="81"/>
        <v>350</v>
      </c>
      <c r="Y41" s="386">
        <f t="shared" si="54"/>
        <v>350</v>
      </c>
      <c r="AA41" s="191">
        <f t="shared" si="82"/>
        <v>0.46073894667618365</v>
      </c>
      <c r="AB41" s="153">
        <f t="shared" si="83"/>
        <v>1.4134941575574826</v>
      </c>
      <c r="AC41" s="153">
        <f t="shared" si="84"/>
        <v>0.11396906662504547</v>
      </c>
      <c r="AD41" s="153"/>
      <c r="AE41" s="153">
        <f t="shared" si="85"/>
        <v>0.46018276762402083</v>
      </c>
      <c r="AF41" s="317">
        <f t="shared" si="86"/>
        <v>1043.0638297872342</v>
      </c>
      <c r="AG41" s="463">
        <f t="shared" si="87"/>
        <v>1.2079797650130546E-2</v>
      </c>
      <c r="AI41" s="153">
        <f t="shared" si="88"/>
        <v>0.27295523308871861</v>
      </c>
      <c r="AJ41" s="153">
        <f t="shared" si="89"/>
        <v>0.27295523308871861</v>
      </c>
      <c r="AK41" s="153">
        <f t="shared" si="90"/>
        <v>1.2819701553924792</v>
      </c>
      <c r="AM41" s="317">
        <f t="shared" si="91"/>
        <v>36</v>
      </c>
      <c r="AN41" s="147">
        <f t="shared" si="92"/>
        <v>350</v>
      </c>
      <c r="AP41">
        <f t="shared" si="93"/>
        <v>36</v>
      </c>
      <c r="AQ41" s="147">
        <f t="shared" si="94"/>
        <v>350</v>
      </c>
      <c r="AR41" s="147"/>
      <c r="AS41" s="5">
        <f t="shared" si="55"/>
        <v>2.8571428571428572</v>
      </c>
      <c r="AT41" s="5">
        <f t="shared" si="95"/>
        <v>0.85525973034465164</v>
      </c>
      <c r="AU41" s="5">
        <f t="shared" si="56"/>
        <v>2.0018831267982056</v>
      </c>
      <c r="AV41" s="5">
        <f t="shared" si="96"/>
        <v>0.83739529733484164</v>
      </c>
      <c r="AW41" s="153">
        <f t="shared" si="57"/>
        <v>0.29934090562062804</v>
      </c>
      <c r="AX41" s="153">
        <f t="shared" si="97"/>
        <v>0.61279999999999979</v>
      </c>
      <c r="AY41" s="153">
        <f t="shared" si="98"/>
        <v>9.5624283211025993E-2</v>
      </c>
      <c r="AZ41" s="153">
        <f t="shared" si="58"/>
        <v>6.4084140494696085</v>
      </c>
      <c r="BA41" s="147">
        <f t="shared" si="99"/>
        <v>3.3279803794703455</v>
      </c>
      <c r="BB41" s="147">
        <f t="shared" si="100"/>
        <v>1.9877078630399989</v>
      </c>
      <c r="BC41" s="5">
        <f t="shared" si="101"/>
        <v>0.10676710009590429</v>
      </c>
      <c r="BD41" s="147">
        <f t="shared" si="102"/>
        <v>8.1275325071928215</v>
      </c>
      <c r="BE41" s="5"/>
      <c r="BF41" s="153">
        <f t="shared" si="59"/>
        <v>8.6221154103661879E-2</v>
      </c>
      <c r="BG41" s="153">
        <f t="shared" si="103"/>
        <v>0.13191196183517562</v>
      </c>
      <c r="BH41" s="153"/>
      <c r="BI41" s="463">
        <f t="shared" si="104"/>
        <v>2.6019305952385934E-3</v>
      </c>
      <c r="BJ41" s="463">
        <f t="shared" si="105"/>
        <v>1.4483004667687408E-2</v>
      </c>
      <c r="BK41" s="463">
        <f t="shared" si="106"/>
        <v>4.3749999999999995E-3</v>
      </c>
      <c r="BL41" s="463">
        <f t="shared" si="107"/>
        <v>1.6087792E-2</v>
      </c>
      <c r="BM41">
        <f t="shared" si="108"/>
        <v>4.3499999999999997E-3</v>
      </c>
      <c r="BN41">
        <f t="shared" si="109"/>
        <v>8.7499999999999992E-6</v>
      </c>
      <c r="BO41" s="463">
        <f t="shared" si="110"/>
        <v>4.2278033725277907E-2</v>
      </c>
      <c r="BP41" s="147">
        <f t="shared" si="60"/>
        <v>42.278033725277908</v>
      </c>
      <c r="BQ41" s="463">
        <f t="shared" si="111"/>
        <v>2.704618497585649E-2</v>
      </c>
      <c r="BR41" s="463"/>
      <c r="BT41" s="147">
        <f t="shared" si="61"/>
        <v>27.046184975856491</v>
      </c>
      <c r="BU41" s="463">
        <f t="shared" si="112"/>
        <v>7.4340874149674101E-3</v>
      </c>
      <c r="BV41" s="463">
        <f t="shared" si="113"/>
        <v>1.7400765675204828E-2</v>
      </c>
      <c r="BW41" s="463">
        <f t="shared" si="114"/>
        <v>0</v>
      </c>
      <c r="BX41" s="463">
        <f t="shared" si="115"/>
        <v>2.7870408060171912E-2</v>
      </c>
      <c r="BY41" s="463">
        <f t="shared" si="116"/>
        <v>1.3038297872340425E-2</v>
      </c>
      <c r="BZ41" s="147">
        <f t="shared" si="62"/>
        <v>40.908705932512333</v>
      </c>
      <c r="CA41" s="153">
        <f t="shared" si="63"/>
        <v>0.11023292463364673</v>
      </c>
      <c r="CB41" s="5">
        <f t="shared" si="64"/>
        <v>0.53999999999999992</v>
      </c>
      <c r="CC41" s="153">
        <f t="shared" si="65"/>
        <v>0.83047163492104925</v>
      </c>
      <c r="CD41" s="5">
        <f t="shared" si="66"/>
        <v>83.047163492104929</v>
      </c>
      <c r="CG41" s="59">
        <f t="shared" si="117"/>
        <v>-50</v>
      </c>
      <c r="CH41">
        <f t="shared" si="118"/>
        <v>-50</v>
      </c>
    </row>
    <row r="42" spans="5:86" x14ac:dyDescent="0.25">
      <c r="E42" s="150">
        <v>37</v>
      </c>
      <c r="F42" s="191">
        <f t="shared" si="119"/>
        <v>3.6999999999999998E-2</v>
      </c>
      <c r="G42" s="191"/>
      <c r="H42" s="191">
        <f t="shared" si="67"/>
        <v>0.55499999999999994</v>
      </c>
      <c r="I42" s="472">
        <f t="shared" si="68"/>
        <v>15</v>
      </c>
      <c r="J42" s="152">
        <f t="shared" si="69"/>
        <v>15.32</v>
      </c>
      <c r="K42" s="386">
        <f t="shared" si="70"/>
        <v>30.32</v>
      </c>
      <c r="L42" s="386"/>
      <c r="M42" s="191">
        <f t="shared" si="71"/>
        <v>0.50527704485488123</v>
      </c>
      <c r="N42" s="152">
        <f t="shared" si="72"/>
        <v>2.5579650395778364</v>
      </c>
      <c r="O42" s="152">
        <f t="shared" si="53"/>
        <v>0.55499999999999994</v>
      </c>
      <c r="P42" s="191">
        <f t="shared" si="73"/>
        <v>0.17053100263852242</v>
      </c>
      <c r="Q42" s="191">
        <f t="shared" si="74"/>
        <v>15</v>
      </c>
      <c r="R42" s="191">
        <f t="shared" si="75"/>
        <v>0.18947889182058048</v>
      </c>
      <c r="S42" s="152">
        <f t="shared" si="76"/>
        <v>121.86360946265926</v>
      </c>
      <c r="T42" s="152">
        <f t="shared" si="77"/>
        <v>15</v>
      </c>
      <c r="U42" s="191">
        <f t="shared" si="78"/>
        <v>0.16272700899332754</v>
      </c>
      <c r="V42" s="191">
        <f t="shared" si="79"/>
        <v>0.50987796151242637</v>
      </c>
      <c r="W42" s="191">
        <f t="shared" si="80"/>
        <v>0.49922776910485595</v>
      </c>
      <c r="X42" s="175">
        <f t="shared" si="81"/>
        <v>350</v>
      </c>
      <c r="Y42" s="386">
        <f t="shared" si="54"/>
        <v>350</v>
      </c>
      <c r="AA42" s="191">
        <f t="shared" si="82"/>
        <v>0.46073894667618365</v>
      </c>
      <c r="AB42" s="153">
        <f t="shared" si="83"/>
        <v>1.4134941575574826</v>
      </c>
      <c r="AC42" s="153">
        <f t="shared" si="84"/>
        <v>0.11396906662504547</v>
      </c>
      <c r="AD42" s="153"/>
      <c r="AE42" s="153">
        <f t="shared" si="85"/>
        <v>0.46018276762402083</v>
      </c>
      <c r="AF42" s="317">
        <f t="shared" si="86"/>
        <v>1072.0378250591018</v>
      </c>
      <c r="AG42" s="463">
        <f t="shared" si="87"/>
        <v>1.2079797650130546E-2</v>
      </c>
      <c r="AI42" s="153">
        <f t="shared" si="88"/>
        <v>0.27672031071347902</v>
      </c>
      <c r="AJ42" s="153">
        <f t="shared" si="89"/>
        <v>0.27672031071347902</v>
      </c>
      <c r="AK42" s="153">
        <f t="shared" si="90"/>
        <v>1.2844802071423194</v>
      </c>
      <c r="AM42" s="317">
        <f t="shared" si="91"/>
        <v>37</v>
      </c>
      <c r="AN42" s="147">
        <f t="shared" si="92"/>
        <v>350</v>
      </c>
      <c r="AP42">
        <f t="shared" si="93"/>
        <v>37</v>
      </c>
      <c r="AQ42" s="147">
        <f t="shared" si="94"/>
        <v>350</v>
      </c>
      <c r="AR42" s="147"/>
      <c r="AS42" s="5">
        <f t="shared" si="55"/>
        <v>2.8571428571428572</v>
      </c>
      <c r="AT42" s="5">
        <f t="shared" si="95"/>
        <v>0.86705697356890088</v>
      </c>
      <c r="AU42" s="5">
        <f t="shared" si="56"/>
        <v>1.9900858835739563</v>
      </c>
      <c r="AV42" s="5">
        <f t="shared" si="96"/>
        <v>0.84894612294605176</v>
      </c>
      <c r="AW42" s="153">
        <f t="shared" si="57"/>
        <v>0.30346994074911532</v>
      </c>
      <c r="AX42" s="153">
        <f t="shared" si="97"/>
        <v>0.62982222222222184</v>
      </c>
      <c r="AY42" s="153">
        <f t="shared" si="98"/>
        <v>9.637200720859139E-2</v>
      </c>
      <c r="AZ42" s="153">
        <f t="shared" si="58"/>
        <v>6.535323279705171</v>
      </c>
      <c r="BA42" s="147">
        <f t="shared" si="99"/>
        <v>3.3279803794703455</v>
      </c>
      <c r="BB42" s="147">
        <f t="shared" si="100"/>
        <v>2.0965864695229612</v>
      </c>
      <c r="BC42" s="5">
        <f t="shared" si="101"/>
        <v>0.10908618917368351</v>
      </c>
      <c r="BD42" s="147">
        <f t="shared" si="102"/>
        <v>8.3047975213595961</v>
      </c>
      <c r="BE42" s="5"/>
      <c r="BF42" s="153">
        <f t="shared" si="59"/>
        <v>8.8011262165093168E-2</v>
      </c>
      <c r="BG42" s="153">
        <f t="shared" si="103"/>
        <v>0.1333368960661753</v>
      </c>
      <c r="BH42" s="153"/>
      <c r="BI42" s="463">
        <f t="shared" si="104"/>
        <v>2.7110937937624658E-3</v>
      </c>
      <c r="BJ42" s="463">
        <f t="shared" si="105"/>
        <v>1.4682779686457198E-2</v>
      </c>
      <c r="BK42" s="463">
        <f t="shared" si="106"/>
        <v>4.3749999999999995E-3</v>
      </c>
      <c r="BL42" s="463">
        <f t="shared" si="107"/>
        <v>1.6087792E-2</v>
      </c>
      <c r="BM42">
        <f t="shared" si="108"/>
        <v>4.3499999999999997E-3</v>
      </c>
      <c r="BN42">
        <f t="shared" si="109"/>
        <v>8.7499999999999992E-6</v>
      </c>
      <c r="BO42" s="463">
        <f t="shared" si="110"/>
        <v>4.2602722888248429E-2</v>
      </c>
      <c r="BP42" s="147">
        <f t="shared" si="60"/>
        <v>42.602722888248429</v>
      </c>
      <c r="BQ42" s="463">
        <f t="shared" si="111"/>
        <v>2.7716948079357394E-2</v>
      </c>
      <c r="BR42" s="463"/>
      <c r="BT42" s="147">
        <f t="shared" si="61"/>
        <v>27.716948079357394</v>
      </c>
      <c r="BU42" s="463">
        <f t="shared" si="112"/>
        <v>7.7459822678927603E-3</v>
      </c>
      <c r="BV42" s="463">
        <f t="shared" si="113"/>
        <v>1.7778727852562033E-2</v>
      </c>
      <c r="BW42" s="463">
        <f t="shared" si="114"/>
        <v>0</v>
      </c>
      <c r="BX42" s="463">
        <f t="shared" si="115"/>
        <v>2.8646170150040649E-2</v>
      </c>
      <c r="BY42" s="463">
        <f t="shared" si="116"/>
        <v>1.3400472813238768E-2</v>
      </c>
      <c r="BZ42" s="147">
        <f t="shared" si="62"/>
        <v>42.046642963279417</v>
      </c>
      <c r="CA42" s="153">
        <f t="shared" si="63"/>
        <v>0.11236631393088524</v>
      </c>
      <c r="CB42" s="5">
        <f t="shared" si="64"/>
        <v>0.55499999999999994</v>
      </c>
      <c r="CC42" s="153">
        <f t="shared" si="65"/>
        <v>0.83162723142402672</v>
      </c>
      <c r="CD42" s="5">
        <f t="shared" si="66"/>
        <v>83.162723142402669</v>
      </c>
      <c r="CG42" s="59">
        <f t="shared" si="117"/>
        <v>-50</v>
      </c>
      <c r="CH42">
        <f t="shared" si="118"/>
        <v>-50</v>
      </c>
    </row>
    <row r="43" spans="5:86" x14ac:dyDescent="0.25">
      <c r="E43" s="150">
        <v>38</v>
      </c>
      <c r="F43" s="191">
        <f t="shared" si="119"/>
        <v>3.8000000000000006E-2</v>
      </c>
      <c r="G43" s="191"/>
      <c r="H43" s="191">
        <f t="shared" si="67"/>
        <v>0.57000000000000006</v>
      </c>
      <c r="I43" s="472">
        <f t="shared" si="68"/>
        <v>15</v>
      </c>
      <c r="J43" s="152">
        <f t="shared" si="69"/>
        <v>15.32</v>
      </c>
      <c r="K43" s="386">
        <f t="shared" si="70"/>
        <v>30.32</v>
      </c>
      <c r="L43" s="386"/>
      <c r="M43" s="191">
        <f t="shared" si="71"/>
        <v>0.50527704485488123</v>
      </c>
      <c r="N43" s="152">
        <f t="shared" si="72"/>
        <v>2.5579650395778364</v>
      </c>
      <c r="O43" s="152">
        <f t="shared" si="53"/>
        <v>0.57000000000000006</v>
      </c>
      <c r="P43" s="191">
        <f t="shared" si="73"/>
        <v>0.17053100263852242</v>
      </c>
      <c r="Q43" s="191">
        <f t="shared" si="74"/>
        <v>15</v>
      </c>
      <c r="R43" s="191">
        <f t="shared" si="75"/>
        <v>0.18947889182058048</v>
      </c>
      <c r="S43" s="152">
        <f t="shared" si="76"/>
        <v>118.26416179140629</v>
      </c>
      <c r="T43" s="152">
        <f t="shared" si="77"/>
        <v>15</v>
      </c>
      <c r="U43" s="191">
        <f t="shared" si="78"/>
        <v>0.16712503626341749</v>
      </c>
      <c r="V43" s="191">
        <f t="shared" si="79"/>
        <v>0.52365844695870811</v>
      </c>
      <c r="W43" s="191">
        <f t="shared" si="80"/>
        <v>0.51272041151309544</v>
      </c>
      <c r="X43" s="175">
        <f t="shared" si="81"/>
        <v>350</v>
      </c>
      <c r="Y43" s="386">
        <f t="shared" si="54"/>
        <v>350</v>
      </c>
      <c r="AA43" s="191">
        <f t="shared" si="82"/>
        <v>0.46073894667618365</v>
      </c>
      <c r="AB43" s="153">
        <f t="shared" si="83"/>
        <v>1.4134941575574826</v>
      </c>
      <c r="AC43" s="153">
        <f t="shared" si="84"/>
        <v>0.11396906662504547</v>
      </c>
      <c r="AD43" s="153"/>
      <c r="AE43" s="153">
        <f t="shared" si="85"/>
        <v>0.46018276762402083</v>
      </c>
      <c r="AF43" s="317">
        <f t="shared" si="86"/>
        <v>1101.0118203309698</v>
      </c>
      <c r="AG43" s="463">
        <f t="shared" si="87"/>
        <v>1.2079797650130546E-2</v>
      </c>
      <c r="AI43" s="153">
        <f t="shared" si="88"/>
        <v>0.28043484350595971</v>
      </c>
      <c r="AJ43" s="153">
        <f t="shared" si="89"/>
        <v>0.28043484350595971</v>
      </c>
      <c r="AK43" s="153">
        <f t="shared" si="90"/>
        <v>1.2869565623373065</v>
      </c>
      <c r="AM43" s="317">
        <f t="shared" si="91"/>
        <v>38.000000000000007</v>
      </c>
      <c r="AN43" s="147">
        <f t="shared" si="92"/>
        <v>350</v>
      </c>
      <c r="AP43">
        <f t="shared" si="93"/>
        <v>38.000000000000007</v>
      </c>
      <c r="AQ43" s="147">
        <f t="shared" si="94"/>
        <v>350</v>
      </c>
      <c r="AR43" s="147"/>
      <c r="AS43" s="5">
        <f t="shared" si="55"/>
        <v>2.8571428571428572</v>
      </c>
      <c r="AT43" s="5">
        <f t="shared" si="95"/>
        <v>0.87869584298534031</v>
      </c>
      <c r="AU43" s="5">
        <f t="shared" si="56"/>
        <v>1.978447014157517</v>
      </c>
      <c r="AV43" s="5">
        <f t="shared" si="96"/>
        <v>0.86034188281854473</v>
      </c>
      <c r="AW43" s="153">
        <f t="shared" si="57"/>
        <v>0.30754354504486908</v>
      </c>
      <c r="AX43" s="153">
        <f t="shared" si="97"/>
        <v>0.64684444444444456</v>
      </c>
      <c r="AY43" s="153">
        <f t="shared" si="98"/>
        <v>9.709445879001688E-2</v>
      </c>
      <c r="AZ43" s="153">
        <f t="shared" si="58"/>
        <v>6.6620119469778869</v>
      </c>
      <c r="BA43" s="147">
        <f t="shared" si="99"/>
        <v>3.3279803794703455</v>
      </c>
      <c r="BB43" s="147">
        <f t="shared" si="100"/>
        <v>2.2083658597451845</v>
      </c>
      <c r="BC43" s="5">
        <f t="shared" si="101"/>
        <v>0.11137923931553433</v>
      </c>
      <c r="BD43" s="147">
        <f t="shared" si="102"/>
        <v>8.4801096153317417</v>
      </c>
      <c r="BE43" s="5"/>
      <c r="BF43" s="153">
        <f t="shared" si="59"/>
        <v>8.9789314026528483E-2</v>
      </c>
      <c r="BG43" s="153">
        <f t="shared" si="103"/>
        <v>0.13473101438563737</v>
      </c>
      <c r="BH43" s="153"/>
      <c r="BI43" s="463">
        <f t="shared" si="104"/>
        <v>2.8217423196740901E-3</v>
      </c>
      <c r="BJ43" s="463">
        <f t="shared" si="105"/>
        <v>1.4879872796426222E-2</v>
      </c>
      <c r="BK43" s="463">
        <f t="shared" si="106"/>
        <v>4.3749999999999995E-3</v>
      </c>
      <c r="BL43" s="463">
        <f t="shared" si="107"/>
        <v>1.6087792E-2</v>
      </c>
      <c r="BM43">
        <f t="shared" si="108"/>
        <v>4.3499999999999997E-3</v>
      </c>
      <c r="BN43">
        <f t="shared" si="109"/>
        <v>8.7499999999999992E-6</v>
      </c>
      <c r="BO43" s="463">
        <f t="shared" si="110"/>
        <v>4.2926440325940299E-2</v>
      </c>
      <c r="BP43" s="147">
        <f t="shared" si="60"/>
        <v>42.926440325940298</v>
      </c>
      <c r="BQ43" s="463">
        <f t="shared" si="111"/>
        <v>2.8384468925360482E-2</v>
      </c>
      <c r="BR43" s="463"/>
      <c r="BT43" s="147">
        <f t="shared" si="61"/>
        <v>28.384468925360483</v>
      </c>
      <c r="BU43" s="463">
        <f t="shared" si="112"/>
        <v>8.0621209133545438E-3</v>
      </c>
      <c r="BV43" s="463">
        <f t="shared" si="113"/>
        <v>1.8152446237382824E-2</v>
      </c>
      <c r="BW43" s="463">
        <f t="shared" si="114"/>
        <v>0</v>
      </c>
      <c r="BX43" s="463">
        <f t="shared" si="115"/>
        <v>2.9422018046248541E-2</v>
      </c>
      <c r="BY43" s="463">
        <f t="shared" si="116"/>
        <v>1.3762647754137122E-2</v>
      </c>
      <c r="BZ43" s="147">
        <f t="shared" si="62"/>
        <v>43.184665800385666</v>
      </c>
      <c r="CA43" s="153">
        <f t="shared" si="63"/>
        <v>0.11449557505168644</v>
      </c>
      <c r="CB43" s="5">
        <f t="shared" si="64"/>
        <v>0.57000000000000006</v>
      </c>
      <c r="CC43" s="153">
        <f t="shared" si="65"/>
        <v>0.83272999968912753</v>
      </c>
      <c r="CD43" s="5">
        <f t="shared" si="66"/>
        <v>83.272999968912757</v>
      </c>
      <c r="CG43" s="59">
        <f t="shared" si="117"/>
        <v>-50</v>
      </c>
      <c r="CH43">
        <f t="shared" si="118"/>
        <v>-50</v>
      </c>
    </row>
    <row r="44" spans="5:86" x14ac:dyDescent="0.25">
      <c r="E44" s="150">
        <v>39</v>
      </c>
      <c r="F44" s="191">
        <f t="shared" si="119"/>
        <v>3.9000000000000007E-2</v>
      </c>
      <c r="G44" s="191"/>
      <c r="H44" s="191">
        <f t="shared" si="67"/>
        <v>0.58500000000000008</v>
      </c>
      <c r="I44" s="472">
        <f t="shared" si="68"/>
        <v>15</v>
      </c>
      <c r="J44" s="152">
        <f t="shared" si="69"/>
        <v>15.32</v>
      </c>
      <c r="K44" s="386">
        <f t="shared" si="70"/>
        <v>30.32</v>
      </c>
      <c r="L44" s="386"/>
      <c r="M44" s="191">
        <f t="shared" si="71"/>
        <v>0.50527704485488123</v>
      </c>
      <c r="N44" s="152">
        <f t="shared" si="72"/>
        <v>2.5579650395778364</v>
      </c>
      <c r="O44" s="152">
        <f t="shared" si="53"/>
        <v>0.58500000000000008</v>
      </c>
      <c r="P44" s="191">
        <f t="shared" si="73"/>
        <v>0.17053100263852242</v>
      </c>
      <c r="Q44" s="191">
        <f t="shared" si="74"/>
        <v>15</v>
      </c>
      <c r="R44" s="191">
        <f t="shared" si="75"/>
        <v>0.18947889182058048</v>
      </c>
      <c r="S44" s="152">
        <f t="shared" si="76"/>
        <v>114.84937005584419</v>
      </c>
      <c r="T44" s="152">
        <f t="shared" si="77"/>
        <v>15</v>
      </c>
      <c r="U44" s="191">
        <f t="shared" si="78"/>
        <v>0.17152306353350744</v>
      </c>
      <c r="V44" s="191">
        <f t="shared" si="79"/>
        <v>0.53743893240498986</v>
      </c>
      <c r="W44" s="191">
        <f t="shared" si="80"/>
        <v>0.52621305392133477</v>
      </c>
      <c r="X44" s="175">
        <f t="shared" si="81"/>
        <v>350</v>
      </c>
      <c r="Y44" s="386">
        <f t="shared" si="54"/>
        <v>350</v>
      </c>
      <c r="AA44" s="191">
        <f t="shared" si="82"/>
        <v>0.46073894667618365</v>
      </c>
      <c r="AB44" s="153">
        <f t="shared" si="83"/>
        <v>1.4134941575574826</v>
      </c>
      <c r="AC44" s="153">
        <f t="shared" si="84"/>
        <v>0.11396906662504547</v>
      </c>
      <c r="AD44" s="153"/>
      <c r="AE44" s="153">
        <f t="shared" si="85"/>
        <v>0.46018276762402083</v>
      </c>
      <c r="AF44" s="317">
        <f t="shared" si="86"/>
        <v>1129.9858156028374</v>
      </c>
      <c r="AG44" s="463">
        <f t="shared" si="87"/>
        <v>1.2079797650130546E-2</v>
      </c>
      <c r="AI44" s="153">
        <f t="shared" si="88"/>
        <v>0.28410081404856935</v>
      </c>
      <c r="AJ44" s="153">
        <f t="shared" si="89"/>
        <v>0.28410081404856935</v>
      </c>
      <c r="AK44" s="153">
        <f t="shared" si="90"/>
        <v>1.2894005426990462</v>
      </c>
      <c r="AM44" s="317">
        <f t="shared" si="91"/>
        <v>39.000000000000007</v>
      </c>
      <c r="AN44" s="147">
        <f t="shared" si="92"/>
        <v>350</v>
      </c>
      <c r="AP44">
        <f t="shared" si="93"/>
        <v>39.000000000000007</v>
      </c>
      <c r="AQ44" s="147">
        <f t="shared" si="94"/>
        <v>350</v>
      </c>
      <c r="AR44" s="147"/>
      <c r="AS44" s="5">
        <f t="shared" si="55"/>
        <v>2.8571428571428572</v>
      </c>
      <c r="AT44" s="5">
        <f t="shared" si="95"/>
        <v>0.89018255068551733</v>
      </c>
      <c r="AU44" s="5">
        <f t="shared" si="56"/>
        <v>1.9669603064573398</v>
      </c>
      <c r="AV44" s="5">
        <f t="shared" si="96"/>
        <v>0.87158865928738638</v>
      </c>
      <c r="AW44" s="153">
        <f t="shared" si="57"/>
        <v>0.31156389273993107</v>
      </c>
      <c r="AX44" s="153">
        <f t="shared" si="97"/>
        <v>0.66386666666666672</v>
      </c>
      <c r="AY44" s="153">
        <f t="shared" si="98"/>
        <v>9.779262924650689E-2</v>
      </c>
      <c r="AZ44" s="153">
        <f t="shared" si="58"/>
        <v>6.7885143469581042</v>
      </c>
      <c r="BA44" s="147">
        <f t="shared" si="99"/>
        <v>3.3279803794703455</v>
      </c>
      <c r="BB44" s="147">
        <f t="shared" si="100"/>
        <v>2.3230460337066661</v>
      </c>
      <c r="BC44" s="5">
        <f t="shared" si="101"/>
        <v>0.11364659548420186</v>
      </c>
      <c r="BD44" s="147">
        <f t="shared" si="102"/>
        <v>8.6534946613151416</v>
      </c>
      <c r="BE44" s="5"/>
      <c r="BF44" s="153">
        <f t="shared" si="59"/>
        <v>9.1555705063993145E-2</v>
      </c>
      <c r="BG44" s="153">
        <f t="shared" si="103"/>
        <v>0.13609547035539069</v>
      </c>
      <c r="BH44" s="153"/>
      <c r="BI44" s="463">
        <f t="shared" si="104"/>
        <v>2.9338564954177145E-3</v>
      </c>
      <c r="BJ44" s="463">
        <f t="shared" si="105"/>
        <v>1.5074389193417092E-2</v>
      </c>
      <c r="BK44" s="463">
        <f t="shared" si="106"/>
        <v>4.3749999999999995E-3</v>
      </c>
      <c r="BL44" s="463">
        <f t="shared" si="107"/>
        <v>1.6087792E-2</v>
      </c>
      <c r="BM44">
        <f t="shared" si="108"/>
        <v>4.3499999999999997E-3</v>
      </c>
      <c r="BN44">
        <f t="shared" si="109"/>
        <v>8.7499999999999992E-6</v>
      </c>
      <c r="BO44" s="463">
        <f t="shared" si="110"/>
        <v>4.3249268994662797E-2</v>
      </c>
      <c r="BP44" s="147">
        <f t="shared" si="60"/>
        <v>43.249268994662799</v>
      </c>
      <c r="BQ44" s="463">
        <f t="shared" si="111"/>
        <v>2.9048790467158844E-2</v>
      </c>
      <c r="BR44" s="463"/>
      <c r="BT44" s="147">
        <f t="shared" si="61"/>
        <v>29.048790467158845</v>
      </c>
      <c r="BU44" s="463">
        <f t="shared" si="112"/>
        <v>8.3824471297648997E-3</v>
      </c>
      <c r="BV44" s="463">
        <f t="shared" si="113"/>
        <v>1.8521977051255026E-2</v>
      </c>
      <c r="BW44" s="463">
        <f t="shared" si="114"/>
        <v>0</v>
      </c>
      <c r="BX44" s="463">
        <f t="shared" si="115"/>
        <v>3.0197951763032766E-2</v>
      </c>
      <c r="BY44" s="463">
        <f t="shared" si="116"/>
        <v>1.4124822695035464E-2</v>
      </c>
      <c r="BZ44" s="147">
        <f t="shared" si="62"/>
        <v>44.322774458068231</v>
      </c>
      <c r="CA44" s="153">
        <f t="shared" si="63"/>
        <v>0.11662083391988987</v>
      </c>
      <c r="CB44" s="5">
        <f t="shared" si="64"/>
        <v>0.58500000000000008</v>
      </c>
      <c r="CC44" s="153">
        <f t="shared" si="65"/>
        <v>0.83378367875945159</v>
      </c>
      <c r="CD44" s="5">
        <f t="shared" si="66"/>
        <v>83.378367875945159</v>
      </c>
      <c r="CG44" s="59">
        <f t="shared" si="117"/>
        <v>-50</v>
      </c>
      <c r="CH44">
        <f t="shared" si="118"/>
        <v>-50</v>
      </c>
    </row>
    <row r="45" spans="5:86" x14ac:dyDescent="0.25">
      <c r="E45" s="150">
        <v>40</v>
      </c>
      <c r="F45" s="191">
        <f t="shared" si="119"/>
        <v>4.0000000000000008E-2</v>
      </c>
      <c r="G45" s="191"/>
      <c r="H45" s="191">
        <f t="shared" si="67"/>
        <v>0.60000000000000009</v>
      </c>
      <c r="I45" s="472">
        <f t="shared" si="68"/>
        <v>15</v>
      </c>
      <c r="J45" s="152">
        <f t="shared" si="69"/>
        <v>15.32</v>
      </c>
      <c r="K45" s="386">
        <f t="shared" si="70"/>
        <v>30.32</v>
      </c>
      <c r="L45" s="386"/>
      <c r="M45" s="191">
        <f t="shared" si="71"/>
        <v>0.50527704485488123</v>
      </c>
      <c r="N45" s="152">
        <f t="shared" si="72"/>
        <v>2.5579650395778364</v>
      </c>
      <c r="O45" s="152">
        <f t="shared" si="53"/>
        <v>0.60000000000000009</v>
      </c>
      <c r="P45" s="191">
        <f t="shared" si="73"/>
        <v>0.17053100263852242</v>
      </c>
      <c r="Q45" s="191">
        <f t="shared" si="74"/>
        <v>15</v>
      </c>
      <c r="R45" s="191">
        <f t="shared" si="75"/>
        <v>0.18947889182058048</v>
      </c>
      <c r="S45" s="152">
        <f t="shared" si="76"/>
        <v>111.60538571327594</v>
      </c>
      <c r="T45" s="152">
        <f t="shared" si="77"/>
        <v>15</v>
      </c>
      <c r="U45" s="191">
        <f t="shared" si="78"/>
        <v>0.17592109080359739</v>
      </c>
      <c r="V45" s="191">
        <f t="shared" si="79"/>
        <v>0.55121941785127171</v>
      </c>
      <c r="W45" s="191">
        <f t="shared" si="80"/>
        <v>0.53970569632957421</v>
      </c>
      <c r="X45" s="175">
        <f t="shared" si="81"/>
        <v>350</v>
      </c>
      <c r="Y45" s="386">
        <f t="shared" si="54"/>
        <v>350</v>
      </c>
      <c r="AA45" s="191">
        <f t="shared" si="82"/>
        <v>0.46073894667618365</v>
      </c>
      <c r="AB45" s="153">
        <f t="shared" si="83"/>
        <v>1.4134941575574826</v>
      </c>
      <c r="AC45" s="153">
        <f t="shared" si="84"/>
        <v>0.11396906662504547</v>
      </c>
      <c r="AD45" s="153"/>
      <c r="AE45" s="153">
        <f t="shared" si="85"/>
        <v>0.46018276762402083</v>
      </c>
      <c r="AF45" s="317">
        <f t="shared" si="86"/>
        <v>1158.959810874705</v>
      </c>
      <c r="AG45" s="463">
        <f t="shared" si="87"/>
        <v>1.2079797650130546E-2</v>
      </c>
      <c r="AI45" s="153">
        <f t="shared" si="88"/>
        <v>0.28772007860750259</v>
      </c>
      <c r="AJ45" s="153">
        <f t="shared" si="89"/>
        <v>0.28772007860750259</v>
      </c>
      <c r="AK45" s="153">
        <f t="shared" si="90"/>
        <v>1.2918133857383349</v>
      </c>
      <c r="AM45" s="317">
        <f t="shared" si="91"/>
        <v>40.000000000000007</v>
      </c>
      <c r="AN45" s="147">
        <f t="shared" si="92"/>
        <v>350</v>
      </c>
      <c r="AP45">
        <f t="shared" si="93"/>
        <v>40.000000000000007</v>
      </c>
      <c r="AQ45" s="147">
        <f t="shared" si="94"/>
        <v>350</v>
      </c>
      <c r="AR45" s="147"/>
      <c r="AS45" s="5">
        <f t="shared" si="55"/>
        <v>2.8571428571428572</v>
      </c>
      <c r="AT45" s="5">
        <f t="shared" si="95"/>
        <v>0.90152291297017473</v>
      </c>
      <c r="AU45" s="5">
        <f t="shared" si="56"/>
        <v>1.9556199441726825</v>
      </c>
      <c r="AV45" s="5">
        <f t="shared" si="96"/>
        <v>0.88269214716400923</v>
      </c>
      <c r="AW45" s="153">
        <f t="shared" si="57"/>
        <v>0.31553301953956114</v>
      </c>
      <c r="AX45" s="153">
        <f t="shared" si="97"/>
        <v>0.68088888888888888</v>
      </c>
      <c r="AY45" s="153">
        <f t="shared" si="98"/>
        <v>9.8467446711158702E-2</v>
      </c>
      <c r="AZ45" s="153">
        <f t="shared" si="58"/>
        <v>6.91486284686742</v>
      </c>
      <c r="BA45" s="147">
        <f t="shared" si="99"/>
        <v>3.3279803794703455</v>
      </c>
      <c r="BB45" s="147">
        <f t="shared" si="100"/>
        <v>2.4406269914074068</v>
      </c>
      <c r="BC45" s="5">
        <f t="shared" si="101"/>
        <v>0.11588858928430712</v>
      </c>
      <c r="BD45" s="147">
        <f t="shared" si="102"/>
        <v>8.8249775296563691</v>
      </c>
      <c r="BE45" s="5"/>
      <c r="BF45" s="153">
        <f t="shared" si="59"/>
        <v>9.3310807908977264E-2</v>
      </c>
      <c r="BG45" s="153">
        <f t="shared" si="103"/>
        <v>0.13743134409106403</v>
      </c>
      <c r="BH45" s="153"/>
      <c r="BI45" s="463">
        <f t="shared" si="104"/>
        <v>3.0474174054191186E-3</v>
      </c>
      <c r="BJ45" s="463">
        <f t="shared" si="105"/>
        <v>1.5266427370914088E-2</v>
      </c>
      <c r="BK45" s="463">
        <f t="shared" si="106"/>
        <v>4.3749999999999995E-3</v>
      </c>
      <c r="BL45" s="463">
        <f t="shared" si="107"/>
        <v>1.6087792E-2</v>
      </c>
      <c r="BM45">
        <f t="shared" si="108"/>
        <v>4.3499999999999997E-3</v>
      </c>
      <c r="BN45">
        <f t="shared" si="109"/>
        <v>8.7499999999999992E-6</v>
      </c>
      <c r="BO45" s="463">
        <f t="shared" si="110"/>
        <v>4.3571286016763133E-2</v>
      </c>
      <c r="BP45" s="147">
        <f t="shared" si="60"/>
        <v>43.571286016763132</v>
      </c>
      <c r="BQ45" s="463">
        <f t="shared" si="111"/>
        <v>2.9709953994748805E-2</v>
      </c>
      <c r="BR45" s="463"/>
      <c r="BT45" s="147">
        <f t="shared" si="61"/>
        <v>29.709953994748805</v>
      </c>
      <c r="BU45" s="463">
        <f t="shared" si="112"/>
        <v>8.7069068726260534E-3</v>
      </c>
      <c r="BV45" s="463">
        <f t="shared" si="113"/>
        <v>1.888737433867644E-2</v>
      </c>
      <c r="BW45" s="463">
        <f t="shared" si="114"/>
        <v>0</v>
      </c>
      <c r="BX45" s="463">
        <f t="shared" si="115"/>
        <v>3.0973971314633742E-2</v>
      </c>
      <c r="BY45" s="463">
        <f t="shared" si="116"/>
        <v>1.4486997635933811E-2</v>
      </c>
      <c r="BZ45" s="147">
        <f t="shared" si="62"/>
        <v>45.460968950567555</v>
      </c>
      <c r="CA45" s="153">
        <f t="shared" si="63"/>
        <v>0.11874220896207949</v>
      </c>
      <c r="CB45" s="5">
        <f t="shared" si="64"/>
        <v>0.60000000000000009</v>
      </c>
      <c r="CC45" s="153">
        <f t="shared" si="65"/>
        <v>0.8347916575909009</v>
      </c>
      <c r="CD45" s="5">
        <f t="shared" si="66"/>
        <v>83.479165759090094</v>
      </c>
      <c r="CG45" s="59">
        <f t="shared" si="117"/>
        <v>-50</v>
      </c>
      <c r="CH45">
        <f t="shared" si="118"/>
        <v>-50</v>
      </c>
    </row>
    <row r="46" spans="5:86" x14ac:dyDescent="0.25">
      <c r="E46" s="150">
        <v>41</v>
      </c>
      <c r="F46" s="191">
        <f t="shared" si="119"/>
        <v>4.1000000000000002E-2</v>
      </c>
      <c r="G46" s="191"/>
      <c r="H46" s="191">
        <f t="shared" si="67"/>
        <v>0.61499999999999999</v>
      </c>
      <c r="I46" s="472">
        <f t="shared" si="68"/>
        <v>15</v>
      </c>
      <c r="J46" s="152">
        <f t="shared" si="69"/>
        <v>15.32</v>
      </c>
      <c r="K46" s="386">
        <f t="shared" si="70"/>
        <v>30.32</v>
      </c>
      <c r="L46" s="386"/>
      <c r="M46" s="191">
        <f t="shared" si="71"/>
        <v>0.50527704485488123</v>
      </c>
      <c r="N46" s="152">
        <f t="shared" si="72"/>
        <v>2.5579650395778364</v>
      </c>
      <c r="O46" s="152">
        <f t="shared" si="53"/>
        <v>0.61499999999999999</v>
      </c>
      <c r="P46" s="191">
        <f t="shared" si="73"/>
        <v>0.17053100263852242</v>
      </c>
      <c r="Q46" s="191">
        <f t="shared" si="74"/>
        <v>15</v>
      </c>
      <c r="R46" s="191">
        <f t="shared" si="75"/>
        <v>0.18947889182058048</v>
      </c>
      <c r="S46" s="152">
        <f t="shared" si="76"/>
        <v>108.51971130637169</v>
      </c>
      <c r="T46" s="152">
        <f t="shared" si="77"/>
        <v>15</v>
      </c>
      <c r="U46" s="191">
        <f t="shared" si="78"/>
        <v>0.18031911807368728</v>
      </c>
      <c r="V46" s="191">
        <f t="shared" si="79"/>
        <v>0.56499990329755356</v>
      </c>
      <c r="W46" s="191">
        <f t="shared" si="80"/>
        <v>0.55319833873781354</v>
      </c>
      <c r="X46" s="175">
        <f t="shared" si="81"/>
        <v>350</v>
      </c>
      <c r="Y46" s="386">
        <f t="shared" si="54"/>
        <v>350</v>
      </c>
      <c r="AA46" s="191">
        <f t="shared" si="82"/>
        <v>0.46073894667618365</v>
      </c>
      <c r="AB46" s="153">
        <f t="shared" si="83"/>
        <v>1.4134941575574826</v>
      </c>
      <c r="AC46" s="153">
        <f t="shared" si="84"/>
        <v>0.11396906662504547</v>
      </c>
      <c r="AD46" s="153"/>
      <c r="AE46" s="153">
        <f t="shared" si="85"/>
        <v>0.46018276762402083</v>
      </c>
      <c r="AF46" s="317">
        <f t="shared" si="86"/>
        <v>1187.9338061465724</v>
      </c>
      <c r="AG46" s="463">
        <f t="shared" si="87"/>
        <v>1.2079797650130546E-2</v>
      </c>
      <c r="AI46" s="153">
        <f t="shared" si="88"/>
        <v>0.29129437812075115</v>
      </c>
      <c r="AJ46" s="153">
        <f t="shared" si="89"/>
        <v>0.29129437812075115</v>
      </c>
      <c r="AK46" s="153">
        <f t="shared" si="90"/>
        <v>1.2941962520805008</v>
      </c>
      <c r="AM46" s="317">
        <f t="shared" si="91"/>
        <v>41</v>
      </c>
      <c r="AN46" s="147">
        <f t="shared" si="92"/>
        <v>350</v>
      </c>
      <c r="AP46">
        <f t="shared" si="93"/>
        <v>41</v>
      </c>
      <c r="AQ46" s="147">
        <f t="shared" si="94"/>
        <v>350</v>
      </c>
      <c r="AR46" s="147"/>
      <c r="AS46" s="5">
        <f t="shared" si="55"/>
        <v>2.8571428571428572</v>
      </c>
      <c r="AT46" s="5">
        <f t="shared" si="95"/>
        <v>0.91272238477835355</v>
      </c>
      <c r="AU46" s="5">
        <f t="shared" si="56"/>
        <v>1.9444204723645035</v>
      </c>
      <c r="AV46" s="5">
        <f t="shared" si="96"/>
        <v>0.89365768744616847</v>
      </c>
      <c r="AW46" s="153">
        <f t="shared" si="57"/>
        <v>0.31945283467242375</v>
      </c>
      <c r="AX46" s="153">
        <f t="shared" si="97"/>
        <v>0.69791111111111115</v>
      </c>
      <c r="AY46" s="153">
        <f t="shared" si="98"/>
        <v>9.9119781652968184E-2</v>
      </c>
      <c r="AZ46" s="153">
        <f t="shared" si="58"/>
        <v>7.0410880600463059</v>
      </c>
      <c r="BA46" s="147">
        <f t="shared" si="99"/>
        <v>3.3279803794703455</v>
      </c>
      <c r="BB46" s="147">
        <f t="shared" si="100"/>
        <v>2.5611087328474067</v>
      </c>
      <c r="BC46" s="5">
        <f t="shared" si="101"/>
        <v>0.11810553980288097</v>
      </c>
      <c r="BD46" s="147">
        <f t="shared" si="102"/>
        <v>8.9945821518827405</v>
      </c>
      <c r="BE46" s="5"/>
      <c r="BF46" s="153">
        <f t="shared" si="59"/>
        <v>9.505497429141227E-2</v>
      </c>
      <c r="BG46" s="153">
        <f t="shared" si="103"/>
        <v>0.13873964863745331</v>
      </c>
      <c r="BH46" s="153"/>
      <c r="BI46" s="463">
        <f t="shared" si="104"/>
        <v>3.1624068481393664E-3</v>
      </c>
      <c r="BJ46" s="463">
        <f t="shared" si="105"/>
        <v>1.5456079703087057E-2</v>
      </c>
      <c r="BK46" s="463">
        <f t="shared" si="106"/>
        <v>4.3749999999999995E-3</v>
      </c>
      <c r="BL46" s="463">
        <f t="shared" si="107"/>
        <v>1.6087792E-2</v>
      </c>
      <c r="BM46">
        <f t="shared" si="108"/>
        <v>4.3499999999999997E-3</v>
      </c>
      <c r="BN46">
        <f t="shared" si="109"/>
        <v>8.7499999999999992E-6</v>
      </c>
      <c r="BO46" s="463">
        <f t="shared" si="110"/>
        <v>4.3892563209011796E-2</v>
      </c>
      <c r="BP46" s="147">
        <f t="shared" si="60"/>
        <v>43.892563209011797</v>
      </c>
      <c r="BQ46" s="463">
        <f t="shared" si="111"/>
        <v>3.0367999239489615E-2</v>
      </c>
      <c r="BR46" s="463"/>
      <c r="BT46" s="147">
        <f t="shared" si="61"/>
        <v>30.367999239489617</v>
      </c>
      <c r="BU46" s="463">
        <f t="shared" si="112"/>
        <v>9.0354481375410477E-3</v>
      </c>
      <c r="BV46" s="463">
        <f t="shared" si="113"/>
        <v>1.9248690104043998E-2</v>
      </c>
      <c r="BW46" s="463">
        <f t="shared" si="114"/>
        <v>0</v>
      </c>
      <c r="BX46" s="463">
        <f t="shared" si="115"/>
        <v>3.1750076715294964E-2</v>
      </c>
      <c r="BY46" s="463">
        <f t="shared" si="116"/>
        <v>1.4849172576832152E-2</v>
      </c>
      <c r="BZ46" s="147">
        <f t="shared" si="62"/>
        <v>46.599249292127119</v>
      </c>
      <c r="CA46" s="153">
        <f t="shared" si="63"/>
        <v>0.12085981174062851</v>
      </c>
      <c r="CB46" s="5">
        <f t="shared" si="64"/>
        <v>0.61499999999999999</v>
      </c>
      <c r="CC46" s="153">
        <f t="shared" si="65"/>
        <v>0.83575701538212488</v>
      </c>
      <c r="CD46" s="5">
        <f t="shared" si="66"/>
        <v>83.575701538212485</v>
      </c>
      <c r="CG46" s="59">
        <f t="shared" si="117"/>
        <v>-50</v>
      </c>
      <c r="CH46">
        <f t="shared" si="118"/>
        <v>-50</v>
      </c>
    </row>
    <row r="47" spans="5:86" x14ac:dyDescent="0.25">
      <c r="E47" s="150">
        <v>42</v>
      </c>
      <c r="F47" s="191">
        <f t="shared" si="119"/>
        <v>4.2000000000000003E-2</v>
      </c>
      <c r="G47" s="191"/>
      <c r="H47" s="191">
        <f t="shared" si="67"/>
        <v>0.63</v>
      </c>
      <c r="I47" s="472">
        <f t="shared" si="68"/>
        <v>15</v>
      </c>
      <c r="J47" s="152">
        <f t="shared" si="69"/>
        <v>15.32</v>
      </c>
      <c r="K47" s="386">
        <f t="shared" si="70"/>
        <v>30.32</v>
      </c>
      <c r="L47" s="386"/>
      <c r="M47" s="191">
        <f t="shared" si="71"/>
        <v>0.50527704485488123</v>
      </c>
      <c r="N47" s="152">
        <f t="shared" si="72"/>
        <v>2.5579650395778364</v>
      </c>
      <c r="O47" s="152">
        <f t="shared" si="53"/>
        <v>0.63</v>
      </c>
      <c r="P47" s="191">
        <f t="shared" si="73"/>
        <v>0.17053100263852242</v>
      </c>
      <c r="Q47" s="191">
        <f t="shared" si="74"/>
        <v>15</v>
      </c>
      <c r="R47" s="191">
        <f t="shared" si="75"/>
        <v>0.18947889182058048</v>
      </c>
      <c r="S47" s="152">
        <f t="shared" si="76"/>
        <v>105.58103961979252</v>
      </c>
      <c r="T47" s="152">
        <f t="shared" si="77"/>
        <v>15</v>
      </c>
      <c r="U47" s="191">
        <f t="shared" si="78"/>
        <v>0.18471714534377723</v>
      </c>
      <c r="V47" s="191">
        <f t="shared" si="79"/>
        <v>0.57878038874383531</v>
      </c>
      <c r="W47" s="191">
        <f t="shared" si="80"/>
        <v>0.56669098114605287</v>
      </c>
      <c r="X47" s="175">
        <f t="shared" si="81"/>
        <v>350</v>
      </c>
      <c r="Y47" s="386">
        <f t="shared" si="54"/>
        <v>350</v>
      </c>
      <c r="AA47" s="191">
        <f t="shared" si="82"/>
        <v>0.46073894667618365</v>
      </c>
      <c r="AB47" s="153">
        <f t="shared" si="83"/>
        <v>1.4134941575574826</v>
      </c>
      <c r="AC47" s="153">
        <f t="shared" si="84"/>
        <v>0.11396906662504547</v>
      </c>
      <c r="AD47" s="153"/>
      <c r="AE47" s="153">
        <f t="shared" si="85"/>
        <v>0.46018276762402083</v>
      </c>
      <c r="AF47" s="317">
        <f t="shared" si="86"/>
        <v>1216.9078014184402</v>
      </c>
      <c r="AG47" s="463">
        <f t="shared" si="87"/>
        <v>1.2079797650130546E-2</v>
      </c>
      <c r="AI47" s="153">
        <f t="shared" si="88"/>
        <v>0.29482534798691046</v>
      </c>
      <c r="AJ47" s="153">
        <f t="shared" si="89"/>
        <v>0.29482534798691046</v>
      </c>
      <c r="AK47" s="153">
        <f t="shared" si="90"/>
        <v>1.2965502319912736</v>
      </c>
      <c r="AM47" s="317">
        <f t="shared" si="91"/>
        <v>42</v>
      </c>
      <c r="AN47" s="147">
        <f t="shared" si="92"/>
        <v>350</v>
      </c>
      <c r="AP47">
        <f t="shared" si="93"/>
        <v>42</v>
      </c>
      <c r="AQ47" s="147">
        <f t="shared" si="94"/>
        <v>350</v>
      </c>
      <c r="AR47" s="147"/>
      <c r="AS47" s="5">
        <f t="shared" si="55"/>
        <v>2.8571428571428572</v>
      </c>
      <c r="AT47" s="5">
        <f t="shared" si="95"/>
        <v>0.92378609035898596</v>
      </c>
      <c r="AU47" s="5">
        <f t="shared" si="56"/>
        <v>1.9333567667838714</v>
      </c>
      <c r="AV47" s="5">
        <f t="shared" si="96"/>
        <v>0.90449029734887665</v>
      </c>
      <c r="AW47" s="153">
        <f t="shared" si="57"/>
        <v>0.32332513162564508</v>
      </c>
      <c r="AX47" s="153">
        <f t="shared" si="97"/>
        <v>0.71493333333333331</v>
      </c>
      <c r="AY47" s="153">
        <f t="shared" si="98"/>
        <v>9.9750451771232998E-2</v>
      </c>
      <c r="AZ47" s="153">
        <f t="shared" si="58"/>
        <v>7.1672190014031871</v>
      </c>
      <c r="BA47" s="147">
        <f t="shared" si="99"/>
        <v>3.3279803794703455</v>
      </c>
      <c r="BB47" s="147">
        <f t="shared" si="100"/>
        <v>2.6844912580266653</v>
      </c>
      <c r="BC47" s="5">
        <f t="shared" si="101"/>
        <v>0.1202977543776631</v>
      </c>
      <c r="BD47" s="147">
        <f t="shared" si="102"/>
        <v>9.1623315783247321</v>
      </c>
      <c r="BE47" s="5"/>
      <c r="BF47" s="153">
        <f t="shared" si="59"/>
        <v>9.6788536692097041E-2</v>
      </c>
      <c r="BG47" s="153">
        <f t="shared" si="103"/>
        <v>0.14002133564878674</v>
      </c>
      <c r="BH47" s="153"/>
      <c r="BI47" s="463">
        <f t="shared" si="104"/>
        <v>3.2788072922490951E-3</v>
      </c>
      <c r="BJ47" s="463">
        <f t="shared" si="105"/>
        <v>1.5643432964185466E-2</v>
      </c>
      <c r="BK47" s="463">
        <f t="shared" si="106"/>
        <v>4.3749999999999995E-3</v>
      </c>
      <c r="BL47" s="463">
        <f t="shared" si="107"/>
        <v>1.6087792E-2</v>
      </c>
      <c r="BM47">
        <f t="shared" si="108"/>
        <v>4.3499999999999997E-3</v>
      </c>
      <c r="BN47">
        <f t="shared" si="109"/>
        <v>8.7499999999999992E-6</v>
      </c>
      <c r="BO47" s="463">
        <f t="shared" si="110"/>
        <v>4.421316755205397E-2</v>
      </c>
      <c r="BP47" s="147">
        <f t="shared" si="60"/>
        <v>44.213167552053967</v>
      </c>
      <c r="BQ47" s="463">
        <f t="shared" si="111"/>
        <v>3.1022964469768835E-2</v>
      </c>
      <c r="BR47" s="463"/>
      <c r="BT47" s="147">
        <f t="shared" si="61"/>
        <v>31.022964469768834</v>
      </c>
      <c r="BU47" s="463">
        <f t="shared" si="112"/>
        <v>9.3680208349974144E-3</v>
      </c>
      <c r="BV47" s="463">
        <f t="shared" si="113"/>
        <v>1.9605974436870198E-2</v>
      </c>
      <c r="BW47" s="463">
        <f t="shared" si="114"/>
        <v>0</v>
      </c>
      <c r="BX47" s="463">
        <f t="shared" si="115"/>
        <v>3.2526267979263147E-2</v>
      </c>
      <c r="BY47" s="463">
        <f t="shared" si="116"/>
        <v>1.5211347517730499E-2</v>
      </c>
      <c r="BZ47" s="147">
        <f t="shared" si="62"/>
        <v>47.737615496993648</v>
      </c>
      <c r="CA47" s="153">
        <f t="shared" si="63"/>
        <v>0.12297374751881644</v>
      </c>
      <c r="CB47" s="5">
        <f t="shared" si="64"/>
        <v>0.63</v>
      </c>
      <c r="CC47" s="153">
        <f t="shared" si="65"/>
        <v>0.83668255643169898</v>
      </c>
      <c r="CD47" s="5">
        <f t="shared" si="66"/>
        <v>83.6682556431699</v>
      </c>
      <c r="CG47" s="59">
        <f t="shared" si="117"/>
        <v>-50</v>
      </c>
      <c r="CH47">
        <f t="shared" si="118"/>
        <v>-50</v>
      </c>
    </row>
    <row r="48" spans="5:86" x14ac:dyDescent="0.25">
      <c r="E48" s="150">
        <v>43</v>
      </c>
      <c r="F48" s="191">
        <f t="shared" si="119"/>
        <v>4.3000000000000003E-2</v>
      </c>
      <c r="G48" s="191"/>
      <c r="H48" s="191">
        <f t="shared" si="67"/>
        <v>0.64500000000000002</v>
      </c>
      <c r="I48" s="472">
        <f t="shared" si="68"/>
        <v>15</v>
      </c>
      <c r="J48" s="152">
        <f t="shared" si="69"/>
        <v>15.32</v>
      </c>
      <c r="K48" s="386">
        <f t="shared" si="70"/>
        <v>30.32</v>
      </c>
      <c r="L48" s="386"/>
      <c r="M48" s="191">
        <f t="shared" si="71"/>
        <v>0.50527704485488123</v>
      </c>
      <c r="N48" s="152">
        <f t="shared" si="72"/>
        <v>2.5579650395778364</v>
      </c>
      <c r="O48" s="152">
        <f t="shared" si="53"/>
        <v>0.64500000000000002</v>
      </c>
      <c r="P48" s="191">
        <f t="shared" si="73"/>
        <v>0.17053100263852242</v>
      </c>
      <c r="Q48" s="191">
        <f t="shared" si="74"/>
        <v>15</v>
      </c>
      <c r="R48" s="191">
        <f t="shared" si="75"/>
        <v>0.18947889182058048</v>
      </c>
      <c r="S48" s="152">
        <f t="shared" si="76"/>
        <v>102.77911528007833</v>
      </c>
      <c r="T48" s="152">
        <f t="shared" si="77"/>
        <v>15</v>
      </c>
      <c r="U48" s="191">
        <f t="shared" si="78"/>
        <v>0.18911517261386715</v>
      </c>
      <c r="V48" s="191">
        <f t="shared" si="79"/>
        <v>0.59256087419011694</v>
      </c>
      <c r="W48" s="191">
        <f t="shared" si="80"/>
        <v>0.58018362355429209</v>
      </c>
      <c r="X48" s="175">
        <f t="shared" si="81"/>
        <v>350</v>
      </c>
      <c r="Y48" s="386">
        <f t="shared" si="54"/>
        <v>350</v>
      </c>
      <c r="AA48" s="191">
        <f t="shared" si="82"/>
        <v>0.46073894667618365</v>
      </c>
      <c r="AB48" s="153">
        <f t="shared" si="83"/>
        <v>1.4134941575574826</v>
      </c>
      <c r="AC48" s="153">
        <f t="shared" si="84"/>
        <v>0.11396906662504547</v>
      </c>
      <c r="AD48" s="153"/>
      <c r="AE48" s="153">
        <f t="shared" si="85"/>
        <v>0.46018276762402083</v>
      </c>
      <c r="AF48" s="317">
        <f t="shared" si="86"/>
        <v>1245.8817966903077</v>
      </c>
      <c r="AG48" s="463">
        <f t="shared" si="87"/>
        <v>1.2079797650130546E-2</v>
      </c>
      <c r="AI48" s="153">
        <f t="shared" si="88"/>
        <v>0.29831452681096593</v>
      </c>
      <c r="AJ48" s="153">
        <f t="shared" si="89"/>
        <v>0.29831452681096593</v>
      </c>
      <c r="AK48" s="153">
        <f t="shared" si="90"/>
        <v>1.2988763512073107</v>
      </c>
      <c r="AM48" s="317">
        <f t="shared" si="91"/>
        <v>43</v>
      </c>
      <c r="AN48" s="147">
        <f t="shared" si="92"/>
        <v>350</v>
      </c>
      <c r="AP48">
        <f t="shared" si="93"/>
        <v>43</v>
      </c>
      <c r="AQ48" s="147">
        <f t="shared" si="94"/>
        <v>350</v>
      </c>
      <c r="AR48" s="147"/>
      <c r="AS48" s="5">
        <f t="shared" si="55"/>
        <v>2.8571428571428572</v>
      </c>
      <c r="AT48" s="5">
        <f t="shared" si="95"/>
        <v>0.93471885067435989</v>
      </c>
      <c r="AU48" s="5">
        <f t="shared" si="56"/>
        <v>1.9224240064684972</v>
      </c>
      <c r="AV48" s="5">
        <f t="shared" si="96"/>
        <v>0.91519469713546986</v>
      </c>
      <c r="AW48" s="153">
        <f t="shared" si="57"/>
        <v>0.32715159773602598</v>
      </c>
      <c r="AX48" s="153">
        <f t="shared" si="97"/>
        <v>0.73195555555555547</v>
      </c>
      <c r="AY48" s="153">
        <f t="shared" si="98"/>
        <v>0.10036022636844594</v>
      </c>
      <c r="AZ48" s="153">
        <f t="shared" si="58"/>
        <v>7.2932832262491605</v>
      </c>
      <c r="BA48" s="147">
        <f t="shared" si="99"/>
        <v>3.3279803794703455</v>
      </c>
      <c r="BB48" s="147">
        <f t="shared" si="100"/>
        <v>2.8107745669451845</v>
      </c>
      <c r="BC48" s="5">
        <f t="shared" si="101"/>
        <v>0.12246552930095612</v>
      </c>
      <c r="BD48" s="147">
        <f t="shared" si="102"/>
        <v>9.3282480309050424</v>
      </c>
      <c r="BE48" s="5"/>
      <c r="BF48" s="153">
        <f t="shared" si="59"/>
        <v>9.8511809828334393E-2</v>
      </c>
      <c r="BG48" s="153">
        <f t="shared" si="103"/>
        <v>0.14127730046435716</v>
      </c>
      <c r="BH48" s="153"/>
      <c r="BI48" s="463">
        <f t="shared" si="104"/>
        <v>3.3966018364788722E-3</v>
      </c>
      <c r="BJ48" s="463">
        <f t="shared" si="105"/>
        <v>1.5828568792589853E-2</v>
      </c>
      <c r="BK48" s="463">
        <f t="shared" si="106"/>
        <v>4.3749999999999995E-3</v>
      </c>
      <c r="BL48" s="463">
        <f t="shared" si="107"/>
        <v>1.6087792E-2</v>
      </c>
      <c r="BM48">
        <f t="shared" si="108"/>
        <v>4.3499999999999997E-3</v>
      </c>
      <c r="BN48">
        <f t="shared" si="109"/>
        <v>8.7499999999999992E-6</v>
      </c>
      <c r="BO48" s="463">
        <f t="shared" si="110"/>
        <v>4.4533161608707419E-2</v>
      </c>
      <c r="BP48" s="147">
        <f t="shared" si="60"/>
        <v>44.533161608707417</v>
      </c>
      <c r="BQ48" s="463">
        <f t="shared" si="111"/>
        <v>3.167488657864314E-2</v>
      </c>
      <c r="BR48" s="463"/>
      <c r="BT48" s="147">
        <f t="shared" si="61"/>
        <v>31.67488657864314</v>
      </c>
      <c r="BU48" s="463">
        <f t="shared" si="112"/>
        <v>9.7045766756539212E-3</v>
      </c>
      <c r="BV48" s="463">
        <f t="shared" si="113"/>
        <v>1.9959275626496253E-2</v>
      </c>
      <c r="BW48" s="463">
        <f t="shared" si="114"/>
        <v>0</v>
      </c>
      <c r="BX48" s="463">
        <f t="shared" si="115"/>
        <v>3.3302545120788098E-2</v>
      </c>
      <c r="BY48" s="463">
        <f t="shared" si="116"/>
        <v>1.5573522458628841E-2</v>
      </c>
      <c r="BZ48" s="147">
        <f t="shared" si="62"/>
        <v>48.87606757941694</v>
      </c>
      <c r="CA48" s="153">
        <f t="shared" si="63"/>
        <v>0.12508411576676748</v>
      </c>
      <c r="CB48" s="5">
        <f t="shared" si="64"/>
        <v>0.64500000000000002</v>
      </c>
      <c r="CC48" s="153">
        <f t="shared" si="65"/>
        <v>0.83757084037212992</v>
      </c>
      <c r="CD48" s="5">
        <f t="shared" si="66"/>
        <v>83.757084037212991</v>
      </c>
      <c r="CG48" s="59">
        <f t="shared" si="117"/>
        <v>-50</v>
      </c>
      <c r="CH48">
        <f t="shared" si="118"/>
        <v>-50</v>
      </c>
    </row>
    <row r="49" spans="5:86" x14ac:dyDescent="0.25">
      <c r="E49" s="150">
        <v>44</v>
      </c>
      <c r="F49" s="191">
        <f t="shared" si="119"/>
        <v>4.4000000000000004E-2</v>
      </c>
      <c r="G49" s="191"/>
      <c r="H49" s="191">
        <f t="shared" si="67"/>
        <v>0.66</v>
      </c>
      <c r="I49" s="472">
        <f t="shared" si="68"/>
        <v>15</v>
      </c>
      <c r="J49" s="152">
        <f t="shared" si="69"/>
        <v>15.32</v>
      </c>
      <c r="K49" s="386">
        <f t="shared" si="70"/>
        <v>30.32</v>
      </c>
      <c r="L49" s="386"/>
      <c r="M49" s="191">
        <f t="shared" si="71"/>
        <v>0.50527704485488123</v>
      </c>
      <c r="N49" s="152">
        <f t="shared" si="72"/>
        <v>2.5579650395778364</v>
      </c>
      <c r="O49" s="152">
        <f t="shared" si="53"/>
        <v>0.66</v>
      </c>
      <c r="P49" s="191">
        <f t="shared" si="73"/>
        <v>0.17053100263852242</v>
      </c>
      <c r="Q49" s="191">
        <f t="shared" si="74"/>
        <v>15</v>
      </c>
      <c r="R49" s="191">
        <f t="shared" si="75"/>
        <v>0.18947889182058048</v>
      </c>
      <c r="S49" s="152">
        <f t="shared" si="76"/>
        <v>100.10461522828024</v>
      </c>
      <c r="T49" s="152">
        <f t="shared" si="77"/>
        <v>15</v>
      </c>
      <c r="U49" s="191">
        <f t="shared" si="78"/>
        <v>0.1935131998839571</v>
      </c>
      <c r="V49" s="191">
        <f t="shared" si="79"/>
        <v>0.6063413596363989</v>
      </c>
      <c r="W49" s="191">
        <f t="shared" si="80"/>
        <v>0.59367626596253154</v>
      </c>
      <c r="X49" s="175">
        <f t="shared" si="81"/>
        <v>350</v>
      </c>
      <c r="Y49" s="386">
        <f t="shared" si="54"/>
        <v>350</v>
      </c>
      <c r="AA49" s="191">
        <f t="shared" si="82"/>
        <v>0.46073894667618365</v>
      </c>
      <c r="AB49" s="153">
        <f t="shared" si="83"/>
        <v>1.4134941575574826</v>
      </c>
      <c r="AC49" s="153">
        <f t="shared" si="84"/>
        <v>0.11396906662504547</v>
      </c>
      <c r="AD49" s="153"/>
      <c r="AE49" s="153">
        <f t="shared" si="85"/>
        <v>0.46018276762402083</v>
      </c>
      <c r="AF49" s="317">
        <f t="shared" si="86"/>
        <v>1274.8557919621753</v>
      </c>
      <c r="AG49" s="463">
        <f t="shared" si="87"/>
        <v>1.2079797650130546E-2</v>
      </c>
      <c r="AI49" s="153">
        <f t="shared" si="88"/>
        <v>0.30176336423976025</v>
      </c>
      <c r="AJ49" s="153">
        <f t="shared" si="89"/>
        <v>0.30176336423976025</v>
      </c>
      <c r="AK49" s="153">
        <f t="shared" si="90"/>
        <v>1.30117557615984</v>
      </c>
      <c r="AM49" s="317">
        <f t="shared" si="91"/>
        <v>44.000000000000007</v>
      </c>
      <c r="AN49" s="147">
        <f t="shared" si="92"/>
        <v>350</v>
      </c>
      <c r="AP49">
        <f t="shared" si="93"/>
        <v>44.000000000000007</v>
      </c>
      <c r="AQ49" s="147">
        <f t="shared" si="94"/>
        <v>350</v>
      </c>
      <c r="AR49" s="147"/>
      <c r="AS49" s="5">
        <f t="shared" si="55"/>
        <v>2.8571428571428572</v>
      </c>
      <c r="AT49" s="5">
        <f t="shared" si="95"/>
        <v>0.94552520795124873</v>
      </c>
      <c r="AU49" s="5">
        <f t="shared" si="56"/>
        <v>1.9116176491916086</v>
      </c>
      <c r="AV49" s="5">
        <f t="shared" si="96"/>
        <v>0.92577533415592239</v>
      </c>
      <c r="AW49" s="153">
        <f t="shared" si="57"/>
        <v>0.33093382278293704</v>
      </c>
      <c r="AX49" s="153">
        <f t="shared" si="97"/>
        <v>0.74897777777777763</v>
      </c>
      <c r="AY49" s="153">
        <f t="shared" si="98"/>
        <v>0.10094983026802827</v>
      </c>
      <c r="AZ49" s="153">
        <f t="shared" si="58"/>
        <v>7.4193069546446351</v>
      </c>
      <c r="BA49" s="147">
        <f t="shared" si="99"/>
        <v>3.3279803794703455</v>
      </c>
      <c r="BB49" s="147">
        <f t="shared" si="100"/>
        <v>2.9399586596029628</v>
      </c>
      <c r="BC49" s="5">
        <f t="shared" si="101"/>
        <v>0.12460915046582338</v>
      </c>
      <c r="BD49" s="147">
        <f t="shared" si="102"/>
        <v>9.4923529516034204</v>
      </c>
      <c r="BE49" s="5"/>
      <c r="BF49" s="153">
        <f t="shared" si="59"/>
        <v>0.10022509199309362</v>
      </c>
      <c r="BG49" s="153">
        <f t="shared" si="103"/>
        <v>0.14250838665639529</v>
      </c>
      <c r="BH49" s="153"/>
      <c r="BI49" s="463">
        <f t="shared" si="104"/>
        <v>3.5157741727584279E-3</v>
      </c>
      <c r="BJ49" s="463">
        <f t="shared" si="105"/>
        <v>1.6011564106561679E-2</v>
      </c>
      <c r="BK49" s="463">
        <f t="shared" si="106"/>
        <v>4.3749999999999995E-3</v>
      </c>
      <c r="BL49" s="463">
        <f t="shared" si="107"/>
        <v>1.6087792E-2</v>
      </c>
      <c r="BM49">
        <f t="shared" si="108"/>
        <v>4.3499999999999997E-3</v>
      </c>
      <c r="BN49">
        <f t="shared" si="109"/>
        <v>8.7499999999999992E-6</v>
      </c>
      <c r="BO49" s="463">
        <f t="shared" si="110"/>
        <v>4.4852603897706747E-2</v>
      </c>
      <c r="BP49" s="147">
        <f t="shared" si="60"/>
        <v>44.85260389770675</v>
      </c>
      <c r="BQ49" s="463">
        <f t="shared" si="111"/>
        <v>3.2323801164300218E-2</v>
      </c>
      <c r="BR49" s="463"/>
      <c r="BT49" s="147">
        <f t="shared" si="61"/>
        <v>32.323801164300221</v>
      </c>
      <c r="BU49" s="463">
        <f t="shared" si="112"/>
        <v>1.004506906502408E-2</v>
      </c>
      <c r="BV49" s="463">
        <f t="shared" si="113"/>
        <v>2.0308640267408661E-2</v>
      </c>
      <c r="BW49" s="463">
        <f t="shared" si="114"/>
        <v>0</v>
      </c>
      <c r="BX49" s="463">
        <f t="shared" si="115"/>
        <v>3.4078908154122824E-2</v>
      </c>
      <c r="BY49" s="463">
        <f t="shared" si="116"/>
        <v>1.5935697399527188E-2</v>
      </c>
      <c r="BZ49" s="147">
        <f t="shared" si="62"/>
        <v>50.014605553650014</v>
      </c>
      <c r="CA49" s="153">
        <f t="shared" si="63"/>
        <v>0.12719101061565696</v>
      </c>
      <c r="CB49" s="5">
        <f t="shared" si="64"/>
        <v>0.66</v>
      </c>
      <c r="CC49" s="153">
        <f t="shared" si="65"/>
        <v>0.83842420848253629</v>
      </c>
      <c r="CD49" s="5">
        <f t="shared" si="66"/>
        <v>83.842420848253624</v>
      </c>
      <c r="CG49" s="59">
        <f t="shared" si="117"/>
        <v>-50</v>
      </c>
      <c r="CH49">
        <f t="shared" si="118"/>
        <v>-50</v>
      </c>
    </row>
    <row r="50" spans="5:86" x14ac:dyDescent="0.25">
      <c r="E50" s="150">
        <v>45</v>
      </c>
      <c r="F50" s="191">
        <f t="shared" si="119"/>
        <v>4.5000000000000005E-2</v>
      </c>
      <c r="G50" s="191"/>
      <c r="H50" s="191">
        <f t="shared" si="67"/>
        <v>0.67500000000000004</v>
      </c>
      <c r="I50" s="472">
        <f t="shared" si="68"/>
        <v>15</v>
      </c>
      <c r="J50" s="152">
        <f t="shared" si="69"/>
        <v>15.32</v>
      </c>
      <c r="K50" s="386">
        <f t="shared" si="70"/>
        <v>30.32</v>
      </c>
      <c r="L50" s="386"/>
      <c r="M50" s="191">
        <f t="shared" si="71"/>
        <v>0.50527704485488123</v>
      </c>
      <c r="N50" s="152">
        <f t="shared" si="72"/>
        <v>2.5579650395778364</v>
      </c>
      <c r="O50" s="152">
        <f t="shared" si="53"/>
        <v>0.67500000000000004</v>
      </c>
      <c r="P50" s="191">
        <f t="shared" si="73"/>
        <v>0.17053100263852242</v>
      </c>
      <c r="Q50" s="191">
        <f t="shared" si="74"/>
        <v>15</v>
      </c>
      <c r="R50" s="191">
        <f t="shared" si="75"/>
        <v>0.18947889182058048</v>
      </c>
      <c r="S50" s="152">
        <f t="shared" si="76"/>
        <v>97.549045129577436</v>
      </c>
      <c r="T50" s="152">
        <f t="shared" si="77"/>
        <v>15</v>
      </c>
      <c r="U50" s="191">
        <f t="shared" si="78"/>
        <v>0.19791122715404702</v>
      </c>
      <c r="V50" s="191">
        <f t="shared" si="79"/>
        <v>0.62012184508268064</v>
      </c>
      <c r="W50" s="191">
        <f t="shared" si="80"/>
        <v>0.60716890837077087</v>
      </c>
      <c r="X50" s="175">
        <f t="shared" si="81"/>
        <v>350</v>
      </c>
      <c r="Y50" s="386">
        <f t="shared" si="54"/>
        <v>350</v>
      </c>
      <c r="AA50" s="191">
        <f t="shared" si="82"/>
        <v>0.46073894667618365</v>
      </c>
      <c r="AB50" s="153">
        <f t="shared" si="83"/>
        <v>1.4134941575574826</v>
      </c>
      <c r="AC50" s="153">
        <f t="shared" si="84"/>
        <v>0.11396906662504547</v>
      </c>
      <c r="AD50" s="153"/>
      <c r="AE50" s="153">
        <f t="shared" si="85"/>
        <v>0.46018276762402083</v>
      </c>
      <c r="AF50" s="317">
        <f t="shared" si="86"/>
        <v>1303.8297872340429</v>
      </c>
      <c r="AG50" s="463">
        <f t="shared" si="87"/>
        <v>1.2079797650130546E-2</v>
      </c>
      <c r="AI50" s="153">
        <f t="shared" si="88"/>
        <v>0.30517322800033736</v>
      </c>
      <c r="AJ50" s="153">
        <f t="shared" si="89"/>
        <v>0.30517322800033736</v>
      </c>
      <c r="AK50" s="153">
        <f t="shared" si="90"/>
        <v>1.3034488186668916</v>
      </c>
      <c r="AM50" s="317">
        <f t="shared" si="91"/>
        <v>45.000000000000007</v>
      </c>
      <c r="AN50" s="147">
        <f t="shared" si="92"/>
        <v>350</v>
      </c>
      <c r="AP50">
        <f t="shared" si="93"/>
        <v>45.000000000000007</v>
      </c>
      <c r="AQ50" s="147">
        <f t="shared" si="94"/>
        <v>350</v>
      </c>
      <c r="AR50" s="147"/>
      <c r="AS50" s="5">
        <f t="shared" si="55"/>
        <v>2.8571428571428572</v>
      </c>
      <c r="AT50" s="5">
        <f t="shared" si="95"/>
        <v>0.95620944773439043</v>
      </c>
      <c r="AU50" s="5">
        <f t="shared" si="56"/>
        <v>1.9009334094084669</v>
      </c>
      <c r="AV50" s="5">
        <f t="shared" si="96"/>
        <v>0.93623640443967715</v>
      </c>
      <c r="AW50" s="153">
        <f t="shared" si="57"/>
        <v>0.33467330670703666</v>
      </c>
      <c r="AX50" s="153">
        <f t="shared" si="97"/>
        <v>0.7659999999999999</v>
      </c>
      <c r="AY50" s="153">
        <f t="shared" si="98"/>
        <v>0.10151994733350202</v>
      </c>
      <c r="AZ50" s="153">
        <f t="shared" si="58"/>
        <v>7.5453151830705947</v>
      </c>
      <c r="BA50" s="147">
        <f t="shared" si="99"/>
        <v>3.3279803794703455</v>
      </c>
      <c r="BB50" s="147">
        <f t="shared" si="100"/>
        <v>3.0720435359999989</v>
      </c>
      <c r="BC50" s="5">
        <f t="shared" si="101"/>
        <v>0.12672889396056447</v>
      </c>
      <c r="BD50" s="147">
        <f t="shared" si="102"/>
        <v>9.6546670470423361</v>
      </c>
      <c r="BE50" s="5"/>
      <c r="BF50" s="153">
        <f t="shared" si="59"/>
        <v>0.10192866626513496</v>
      </c>
      <c r="BG50" s="153">
        <f t="shared" si="103"/>
        <v>0.14371539011576329</v>
      </c>
      <c r="BH50" s="153"/>
      <c r="BI50" s="463">
        <f t="shared" si="104"/>
        <v>3.6363085523062407E-3</v>
      </c>
      <c r="BJ50" s="463">
        <f t="shared" si="105"/>
        <v>1.6192491477697898E-2</v>
      </c>
      <c r="BK50" s="463">
        <f t="shared" si="106"/>
        <v>4.3749999999999995E-3</v>
      </c>
      <c r="BL50" s="463">
        <f t="shared" si="107"/>
        <v>1.6087792E-2</v>
      </c>
      <c r="BM50">
        <f t="shared" si="108"/>
        <v>4.3499999999999997E-3</v>
      </c>
      <c r="BN50">
        <f t="shared" si="109"/>
        <v>8.7499999999999992E-6</v>
      </c>
      <c r="BO50" s="463">
        <f t="shared" si="110"/>
        <v>4.5171549228514497E-2</v>
      </c>
      <c r="BP50" s="147">
        <f t="shared" si="60"/>
        <v>45.1715492285145</v>
      </c>
      <c r="BQ50" s="463">
        <f t="shared" si="111"/>
        <v>3.2969742604080289E-2</v>
      </c>
      <c r="BR50" s="463"/>
      <c r="BT50" s="147">
        <f t="shared" si="61"/>
        <v>32.969742604080288</v>
      </c>
      <c r="BU50" s="463">
        <f t="shared" si="112"/>
        <v>1.038945300658926E-2</v>
      </c>
      <c r="BV50" s="463">
        <f t="shared" si="113"/>
        <v>2.0654113356126033E-2</v>
      </c>
      <c r="BW50" s="463">
        <f t="shared" si="114"/>
        <v>0</v>
      </c>
      <c r="BX50" s="463">
        <f t="shared" si="115"/>
        <v>3.4855357093523442E-2</v>
      </c>
      <c r="BY50" s="463">
        <f t="shared" si="116"/>
        <v>1.6297872340425536E-2</v>
      </c>
      <c r="BZ50" s="147">
        <f t="shared" si="62"/>
        <v>51.153229433948979</v>
      </c>
      <c r="CA50" s="153">
        <f t="shared" si="63"/>
        <v>0.12929452126654375</v>
      </c>
      <c r="CB50" s="5">
        <f t="shared" si="64"/>
        <v>0.67500000000000004</v>
      </c>
      <c r="CC50" s="153">
        <f t="shared" si="65"/>
        <v>0.83924480666243972</v>
      </c>
      <c r="CD50" s="5">
        <f t="shared" si="66"/>
        <v>83.924480666243966</v>
      </c>
      <c r="CG50" s="59">
        <f t="shared" si="117"/>
        <v>-50</v>
      </c>
      <c r="CH50">
        <f t="shared" si="118"/>
        <v>-50</v>
      </c>
    </row>
    <row r="51" spans="5:86" x14ac:dyDescent="0.25">
      <c r="E51" s="150">
        <v>46</v>
      </c>
      <c r="F51" s="191">
        <f t="shared" si="119"/>
        <v>4.6000000000000006E-2</v>
      </c>
      <c r="G51" s="191"/>
      <c r="H51" s="191">
        <f t="shared" si="67"/>
        <v>0.69000000000000006</v>
      </c>
      <c r="I51" s="472">
        <f t="shared" si="68"/>
        <v>15</v>
      </c>
      <c r="J51" s="152">
        <f t="shared" si="69"/>
        <v>15.32</v>
      </c>
      <c r="K51" s="386">
        <f t="shared" si="70"/>
        <v>30.32</v>
      </c>
      <c r="L51" s="386"/>
      <c r="M51" s="191">
        <f t="shared" si="71"/>
        <v>0.50527704485488123</v>
      </c>
      <c r="N51" s="152">
        <f t="shared" si="72"/>
        <v>2.5579650395778364</v>
      </c>
      <c r="O51" s="152">
        <f t="shared" si="53"/>
        <v>0.69000000000000006</v>
      </c>
      <c r="P51" s="191">
        <f t="shared" si="73"/>
        <v>0.17053100263852242</v>
      </c>
      <c r="Q51" s="191">
        <f t="shared" si="74"/>
        <v>15</v>
      </c>
      <c r="R51" s="191">
        <f t="shared" si="75"/>
        <v>0.18947889182058048</v>
      </c>
      <c r="S51" s="152">
        <f t="shared" si="76"/>
        <v>95.104649294685245</v>
      </c>
      <c r="T51" s="152">
        <f t="shared" si="77"/>
        <v>15</v>
      </c>
      <c r="U51" s="191">
        <f t="shared" si="78"/>
        <v>0.20230925442413697</v>
      </c>
      <c r="V51" s="191">
        <f t="shared" si="79"/>
        <v>0.6339023305289625</v>
      </c>
      <c r="W51" s="191">
        <f t="shared" si="80"/>
        <v>0.62066155077901031</v>
      </c>
      <c r="X51" s="175">
        <f t="shared" si="81"/>
        <v>350</v>
      </c>
      <c r="Y51" s="386">
        <f t="shared" si="54"/>
        <v>350</v>
      </c>
      <c r="AA51" s="191">
        <f t="shared" si="82"/>
        <v>0.46073894667618365</v>
      </c>
      <c r="AB51" s="153">
        <f t="shared" si="83"/>
        <v>1.4134941575574826</v>
      </c>
      <c r="AC51" s="153">
        <f t="shared" si="84"/>
        <v>0.11396906662504547</v>
      </c>
      <c r="AD51" s="153"/>
      <c r="AE51" s="153">
        <f t="shared" si="85"/>
        <v>0.46018276762402083</v>
      </c>
      <c r="AF51" s="317">
        <f t="shared" si="86"/>
        <v>1332.8037825059107</v>
      </c>
      <c r="AG51" s="463">
        <f t="shared" si="87"/>
        <v>1.2079797650130546E-2</v>
      </c>
      <c r="AI51" s="153">
        <f t="shared" si="88"/>
        <v>0.30854541023809379</v>
      </c>
      <c r="AJ51" s="153">
        <f t="shared" si="89"/>
        <v>0.30854541023809379</v>
      </c>
      <c r="AK51" s="153">
        <f t="shared" si="90"/>
        <v>1.3056969401587291</v>
      </c>
      <c r="AM51" s="317">
        <f t="shared" si="91"/>
        <v>46.000000000000007</v>
      </c>
      <c r="AN51" s="147">
        <f t="shared" si="92"/>
        <v>350</v>
      </c>
      <c r="AP51">
        <f t="shared" si="93"/>
        <v>46.000000000000007</v>
      </c>
      <c r="AQ51" s="147">
        <f t="shared" si="94"/>
        <v>350</v>
      </c>
      <c r="AR51" s="147"/>
      <c r="AS51" s="5">
        <f t="shared" si="55"/>
        <v>2.8571428571428572</v>
      </c>
      <c r="AT51" s="5">
        <f t="shared" si="95"/>
        <v>0.96677561874602713</v>
      </c>
      <c r="AU51" s="5">
        <f t="shared" si="56"/>
        <v>1.8903672383968302</v>
      </c>
      <c r="AV51" s="5">
        <f t="shared" si="96"/>
        <v>0.94658187214036593</v>
      </c>
      <c r="AW51" s="153">
        <f t="shared" si="57"/>
        <v>0.3383714665611095</v>
      </c>
      <c r="AX51" s="153">
        <f t="shared" si="97"/>
        <v>0.78302222222222218</v>
      </c>
      <c r="AY51" s="153">
        <f t="shared" si="98"/>
        <v>0.10207122363756541</v>
      </c>
      <c r="AZ51" s="153">
        <f t="shared" si="58"/>
        <v>7.6713317849757363</v>
      </c>
      <c r="BA51" s="147">
        <f t="shared" si="99"/>
        <v>3.3279803794703455</v>
      </c>
      <c r="BB51" s="147">
        <f t="shared" si="100"/>
        <v>3.2070291961362956</v>
      </c>
      <c r="BC51" s="5">
        <f t="shared" si="101"/>
        <v>0.12882502661667289</v>
      </c>
      <c r="BD51" s="147">
        <f t="shared" si="102"/>
        <v>9.8152103295838007</v>
      </c>
      <c r="BE51" s="5"/>
      <c r="BF51" s="153">
        <f t="shared" si="59"/>
        <v>0.10362280160511636</v>
      </c>
      <c r="BG51" s="153">
        <f t="shared" si="103"/>
        <v>0.144899062731629</v>
      </c>
      <c r="BH51" s="153"/>
      <c r="BI51" s="463">
        <f t="shared" si="104"/>
        <v>3.7581897543726567E-3</v>
      </c>
      <c r="BJ51" s="463">
        <f t="shared" si="105"/>
        <v>1.6371419467233257E-2</v>
      </c>
      <c r="BK51" s="463">
        <f t="shared" si="106"/>
        <v>4.3749999999999995E-3</v>
      </c>
      <c r="BL51" s="463">
        <f t="shared" si="107"/>
        <v>1.6087792E-2</v>
      </c>
      <c r="BM51">
        <f t="shared" si="108"/>
        <v>4.3499999999999997E-3</v>
      </c>
      <c r="BN51">
        <f t="shared" si="109"/>
        <v>8.7499999999999992E-6</v>
      </c>
      <c r="BO51" s="463">
        <f t="shared" si="110"/>
        <v>4.549004900200395E-2</v>
      </c>
      <c r="BP51" s="147">
        <f t="shared" si="60"/>
        <v>45.49004900200395</v>
      </c>
      <c r="BQ51" s="463">
        <f t="shared" si="111"/>
        <v>3.3612744122705485E-2</v>
      </c>
      <c r="BR51" s="463"/>
      <c r="BT51" s="147">
        <f t="shared" si="61"/>
        <v>33.612744122705486</v>
      </c>
      <c r="BU51" s="463">
        <f t="shared" si="112"/>
        <v>1.0737685012493305E-2</v>
      </c>
      <c r="BV51" s="463">
        <f t="shared" si="113"/>
        <v>2.0995738380504558E-2</v>
      </c>
      <c r="BW51" s="463">
        <f t="shared" si="114"/>
        <v>0</v>
      </c>
      <c r="BX51" s="463">
        <f t="shared" si="115"/>
        <v>3.5631891953249298E-2</v>
      </c>
      <c r="BY51" s="463">
        <f t="shared" si="116"/>
        <v>1.6660047281323882E-2</v>
      </c>
      <c r="BZ51" s="147">
        <f t="shared" si="62"/>
        <v>52.291939234573178</v>
      </c>
      <c r="CA51" s="153">
        <f t="shared" si="63"/>
        <v>0.13139473235928262</v>
      </c>
      <c r="CB51" s="5">
        <f t="shared" si="64"/>
        <v>0.69000000000000006</v>
      </c>
      <c r="CC51" s="153">
        <f t="shared" si="65"/>
        <v>0.84003460555209664</v>
      </c>
      <c r="CD51" s="5">
        <f t="shared" si="66"/>
        <v>84.003460555209671</v>
      </c>
      <c r="CG51" s="59">
        <f t="shared" si="117"/>
        <v>-50</v>
      </c>
      <c r="CH51">
        <f t="shared" si="118"/>
        <v>-50</v>
      </c>
    </row>
    <row r="52" spans="5:86" x14ac:dyDescent="0.25">
      <c r="E52" s="150">
        <v>47</v>
      </c>
      <c r="F52" s="191">
        <f t="shared" si="119"/>
        <v>4.7E-2</v>
      </c>
      <c r="G52" s="191"/>
      <c r="H52" s="191">
        <f t="shared" si="67"/>
        <v>0.70499999999999996</v>
      </c>
      <c r="I52" s="472">
        <f t="shared" si="68"/>
        <v>15</v>
      </c>
      <c r="J52" s="152">
        <f t="shared" si="69"/>
        <v>15.32</v>
      </c>
      <c r="K52" s="386">
        <f t="shared" si="70"/>
        <v>30.32</v>
      </c>
      <c r="L52" s="386"/>
      <c r="M52" s="191">
        <f t="shared" si="71"/>
        <v>0.50527704485488123</v>
      </c>
      <c r="N52" s="152">
        <f t="shared" si="72"/>
        <v>2.5579650395778364</v>
      </c>
      <c r="O52" s="152">
        <f t="shared" si="53"/>
        <v>0.70499999999999996</v>
      </c>
      <c r="P52" s="191">
        <f t="shared" si="73"/>
        <v>0.17053100263852242</v>
      </c>
      <c r="Q52" s="191">
        <f t="shared" si="74"/>
        <v>15</v>
      </c>
      <c r="R52" s="191">
        <f t="shared" si="75"/>
        <v>0.18947889182058048</v>
      </c>
      <c r="S52" s="152">
        <f t="shared" si="76"/>
        <v>92.764332100659928</v>
      </c>
      <c r="T52" s="152">
        <f t="shared" si="77"/>
        <v>15</v>
      </c>
      <c r="U52" s="191">
        <f t="shared" si="78"/>
        <v>0.20670728169422686</v>
      </c>
      <c r="V52" s="191">
        <f t="shared" si="79"/>
        <v>0.64768281597524402</v>
      </c>
      <c r="W52" s="191">
        <f t="shared" si="80"/>
        <v>0.63415419318724942</v>
      </c>
      <c r="X52" s="175">
        <f t="shared" si="81"/>
        <v>350</v>
      </c>
      <c r="Y52" s="386">
        <f t="shared" si="54"/>
        <v>350</v>
      </c>
      <c r="AA52" s="191">
        <f t="shared" si="82"/>
        <v>0.46073894667618365</v>
      </c>
      <c r="AB52" s="153">
        <f t="shared" si="83"/>
        <v>1.4134941575574826</v>
      </c>
      <c r="AC52" s="153">
        <f t="shared" si="84"/>
        <v>0.11396906662504547</v>
      </c>
      <c r="AD52" s="153"/>
      <c r="AE52" s="153">
        <f t="shared" si="85"/>
        <v>0.46018276762402083</v>
      </c>
      <c r="AF52" s="317">
        <f t="shared" si="86"/>
        <v>1361.7777777777781</v>
      </c>
      <c r="AG52" s="463">
        <f t="shared" si="87"/>
        <v>1.2079797650130546E-2</v>
      </c>
      <c r="AI52" s="153">
        <f t="shared" si="88"/>
        <v>0.31188113323803551</v>
      </c>
      <c r="AJ52" s="153">
        <f t="shared" si="89"/>
        <v>0.31188113323803551</v>
      </c>
      <c r="AK52" s="153">
        <f t="shared" si="90"/>
        <v>1.3079207554920236</v>
      </c>
      <c r="AM52" s="317">
        <f t="shared" si="91"/>
        <v>47</v>
      </c>
      <c r="AN52" s="147">
        <f t="shared" si="92"/>
        <v>350</v>
      </c>
      <c r="AP52">
        <f t="shared" si="93"/>
        <v>47</v>
      </c>
      <c r="AQ52" s="147">
        <f t="shared" si="94"/>
        <v>350</v>
      </c>
      <c r="AR52" s="147"/>
      <c r="AS52" s="5">
        <f t="shared" si="55"/>
        <v>2.8571428571428572</v>
      </c>
      <c r="AT52" s="5">
        <f t="shared" si="95"/>
        <v>0.97722755081251123</v>
      </c>
      <c r="AU52" s="5">
        <f t="shared" si="56"/>
        <v>1.879915306330346</v>
      </c>
      <c r="AV52" s="5">
        <f t="shared" si="96"/>
        <v>0.95681548708796782</v>
      </c>
      <c r="AW52" s="153">
        <f t="shared" si="57"/>
        <v>0.34202964278437892</v>
      </c>
      <c r="AX52" s="153">
        <f t="shared" si="97"/>
        <v>0.80004444444444422</v>
      </c>
      <c r="AY52" s="153">
        <f t="shared" si="98"/>
        <v>0.10260427032272146</v>
      </c>
      <c r="AZ52" s="153">
        <f t="shared" si="58"/>
        <v>7.7973796015318122</v>
      </c>
      <c r="BA52" s="147">
        <f t="shared" si="99"/>
        <v>3.3279803794703455</v>
      </c>
      <c r="BB52" s="147">
        <f t="shared" si="100"/>
        <v>3.34491564001185</v>
      </c>
      <c r="BC52" s="5">
        <f t="shared" si="101"/>
        <v>0.13089780651485369</v>
      </c>
      <c r="BD52" s="147">
        <f t="shared" si="102"/>
        <v>9.9740021552806937</v>
      </c>
      <c r="BE52" s="5"/>
      <c r="BF52" s="153">
        <f t="shared" si="59"/>
        <v>0.10530775385066547</v>
      </c>
      <c r="BG52" s="153">
        <f t="shared" si="103"/>
        <v>0.14606011571338723</v>
      </c>
      <c r="BH52" s="153"/>
      <c r="BI52" s="463">
        <f t="shared" si="104"/>
        <v>3.8814030573753214E-3</v>
      </c>
      <c r="BJ52" s="463">
        <f t="shared" si="105"/>
        <v>1.6548412929610165E-2</v>
      </c>
      <c r="BK52" s="463">
        <f t="shared" si="106"/>
        <v>4.3749999999999995E-3</v>
      </c>
      <c r="BL52" s="463">
        <f t="shared" si="107"/>
        <v>1.6087792E-2</v>
      </c>
      <c r="BM52">
        <f t="shared" si="108"/>
        <v>4.3499999999999997E-3</v>
      </c>
      <c r="BN52">
        <f t="shared" si="109"/>
        <v>8.7499999999999992E-6</v>
      </c>
      <c r="BO52" s="463">
        <f t="shared" si="110"/>
        <v>4.5808151481135699E-2</v>
      </c>
      <c r="BP52" s="147">
        <f t="shared" si="60"/>
        <v>45.808151481135702</v>
      </c>
      <c r="BQ52" s="463">
        <f t="shared" si="111"/>
        <v>3.4252837855286968E-2</v>
      </c>
      <c r="BR52" s="463"/>
      <c r="BT52" s="147">
        <f t="shared" si="61"/>
        <v>34.25283785528697</v>
      </c>
      <c r="BU52" s="463">
        <f t="shared" si="112"/>
        <v>1.1089723021072348E-2</v>
      </c>
      <c r="BV52" s="463">
        <f t="shared" si="113"/>
        <v>2.1333557402208068E-2</v>
      </c>
      <c r="BW52" s="463">
        <f t="shared" si="114"/>
        <v>0</v>
      </c>
      <c r="BX52" s="463">
        <f t="shared" si="115"/>
        <v>3.6408512747562773E-2</v>
      </c>
      <c r="BY52" s="463">
        <f t="shared" si="116"/>
        <v>1.7022222222222223E-2</v>
      </c>
      <c r="BZ52" s="147">
        <f t="shared" si="62"/>
        <v>53.430734969784993</v>
      </c>
      <c r="CA52" s="153">
        <f t="shared" si="63"/>
        <v>0.13349172430620765</v>
      </c>
      <c r="CB52" s="5">
        <f t="shared" si="64"/>
        <v>0.70499999999999996</v>
      </c>
      <c r="CC52" s="153">
        <f t="shared" si="65"/>
        <v>0.84079541820563286</v>
      </c>
      <c r="CD52" s="5">
        <f t="shared" si="66"/>
        <v>84.079541820563293</v>
      </c>
      <c r="CG52" s="59">
        <f t="shared" si="117"/>
        <v>-50</v>
      </c>
      <c r="CH52">
        <f t="shared" si="118"/>
        <v>-50</v>
      </c>
    </row>
    <row r="53" spans="5:86" x14ac:dyDescent="0.25">
      <c r="E53" s="150">
        <v>48</v>
      </c>
      <c r="F53" s="191">
        <f t="shared" si="119"/>
        <v>4.8000000000000001E-2</v>
      </c>
      <c r="G53" s="191"/>
      <c r="H53" s="191">
        <f t="shared" si="67"/>
        <v>0.72</v>
      </c>
      <c r="I53" s="472">
        <f t="shared" si="68"/>
        <v>15</v>
      </c>
      <c r="J53" s="152">
        <f t="shared" si="69"/>
        <v>15.32</v>
      </c>
      <c r="K53" s="386">
        <f t="shared" si="70"/>
        <v>30.32</v>
      </c>
      <c r="L53" s="386"/>
      <c r="M53" s="191">
        <f t="shared" si="71"/>
        <v>0.50527704485488123</v>
      </c>
      <c r="N53" s="152">
        <f t="shared" si="72"/>
        <v>2.5579650395778364</v>
      </c>
      <c r="O53" s="152">
        <f t="shared" si="53"/>
        <v>0.72</v>
      </c>
      <c r="P53" s="191">
        <f t="shared" si="73"/>
        <v>0.17053100263852242</v>
      </c>
      <c r="Q53" s="191">
        <f t="shared" si="74"/>
        <v>15</v>
      </c>
      <c r="R53" s="191">
        <f t="shared" si="75"/>
        <v>0.18947889182058048</v>
      </c>
      <c r="S53" s="152">
        <f t="shared" si="76"/>
        <v>90.52158923410488</v>
      </c>
      <c r="T53" s="152">
        <f t="shared" si="77"/>
        <v>15</v>
      </c>
      <c r="U53" s="191">
        <f t="shared" si="78"/>
        <v>0.21110530896431681</v>
      </c>
      <c r="V53" s="191">
        <f t="shared" si="79"/>
        <v>0.66146330142152598</v>
      </c>
      <c r="W53" s="191">
        <f t="shared" si="80"/>
        <v>0.64764683559548886</v>
      </c>
      <c r="X53" s="175">
        <f t="shared" si="81"/>
        <v>350</v>
      </c>
      <c r="Y53" s="386">
        <f t="shared" si="54"/>
        <v>350</v>
      </c>
      <c r="AA53" s="191">
        <f t="shared" si="82"/>
        <v>0.46073894667618365</v>
      </c>
      <c r="AB53" s="153">
        <f t="shared" si="83"/>
        <v>1.4134941575574826</v>
      </c>
      <c r="AC53" s="153">
        <f t="shared" si="84"/>
        <v>0.11396906662504547</v>
      </c>
      <c r="AD53" s="153"/>
      <c r="AE53" s="153">
        <f t="shared" si="85"/>
        <v>0.46018276762402083</v>
      </c>
      <c r="AF53" s="317">
        <f t="shared" si="86"/>
        <v>1390.7517730496459</v>
      </c>
      <c r="AG53" s="463">
        <f t="shared" si="87"/>
        <v>1.2079797650130546E-2</v>
      </c>
      <c r="AI53" s="153">
        <f t="shared" si="88"/>
        <v>0.31518155460097746</v>
      </c>
      <c r="AJ53" s="153">
        <f t="shared" si="89"/>
        <v>0.31518155460097746</v>
      </c>
      <c r="AK53" s="153">
        <f t="shared" si="90"/>
        <v>1.3101210364006517</v>
      </c>
      <c r="AM53" s="317">
        <f t="shared" si="91"/>
        <v>48</v>
      </c>
      <c r="AN53" s="147">
        <f t="shared" si="92"/>
        <v>350</v>
      </c>
      <c r="AP53">
        <f t="shared" si="93"/>
        <v>48</v>
      </c>
      <c r="AQ53" s="147">
        <f t="shared" si="94"/>
        <v>350</v>
      </c>
      <c r="AR53" s="147"/>
      <c r="AS53" s="5">
        <f t="shared" si="55"/>
        <v>2.8571428571428572</v>
      </c>
      <c r="AT53" s="5">
        <f t="shared" si="95"/>
        <v>0.98756887108306268</v>
      </c>
      <c r="AU53" s="5">
        <f t="shared" si="56"/>
        <v>1.8695739860597946</v>
      </c>
      <c r="AV53" s="5">
        <f t="shared" si="96"/>
        <v>0.96694080066879495</v>
      </c>
      <c r="AW53" s="153">
        <f t="shared" si="57"/>
        <v>0.34564910487907191</v>
      </c>
      <c r="AX53" s="153">
        <f t="shared" si="97"/>
        <v>0.81706666666666639</v>
      </c>
      <c r="AY53" s="153">
        <f t="shared" si="98"/>
        <v>0.10311966618937762</v>
      </c>
      <c r="AZ53" s="153">
        <f t="shared" si="58"/>
        <v>7.9234805237454555</v>
      </c>
      <c r="BA53" s="147">
        <f t="shared" si="99"/>
        <v>3.3279803794703455</v>
      </c>
      <c r="BB53" s="147">
        <f t="shared" si="100"/>
        <v>3.4857028676266655</v>
      </c>
      <c r="BC53" s="5">
        <f t="shared" si="101"/>
        <v>0.13294748345314095</v>
      </c>
      <c r="BD53" s="147">
        <f t="shared" si="102"/>
        <v>10.131061258985572</v>
      </c>
      <c r="BE53" s="5"/>
      <c r="BF53" s="153">
        <f t="shared" si="59"/>
        <v>0.10698376662167824</v>
      </c>
      <c r="BG53" s="153">
        <f t="shared" si="103"/>
        <v>0.14719922259645687</v>
      </c>
      <c r="BH53" s="153"/>
      <c r="BI53" s="463">
        <f t="shared" si="104"/>
        <v>4.0059342121965998E-3</v>
      </c>
      <c r="BJ53" s="463">
        <f t="shared" si="105"/>
        <v>1.6723533287127865E-2</v>
      </c>
      <c r="BK53" s="463">
        <f t="shared" si="106"/>
        <v>4.3749999999999995E-3</v>
      </c>
      <c r="BL53" s="463">
        <f t="shared" si="107"/>
        <v>1.6087792E-2</v>
      </c>
      <c r="BM53">
        <f t="shared" si="108"/>
        <v>4.3499999999999997E-3</v>
      </c>
      <c r="BN53">
        <f t="shared" si="109"/>
        <v>8.7499999999999992E-6</v>
      </c>
      <c r="BO53" s="463">
        <f t="shared" si="110"/>
        <v>4.612590203517726E-2</v>
      </c>
      <c r="BP53" s="147">
        <f t="shared" si="60"/>
        <v>46.125902035177262</v>
      </c>
      <c r="BQ53" s="463">
        <f t="shared" si="111"/>
        <v>3.489005490561297E-2</v>
      </c>
      <c r="BR53" s="463"/>
      <c r="BT53" s="147">
        <f t="shared" si="61"/>
        <v>34.890054905612971</v>
      </c>
      <c r="BU53" s="463">
        <f t="shared" si="112"/>
        <v>1.1445526320561715E-2</v>
      </c>
      <c r="BV53" s="463">
        <f t="shared" si="113"/>
        <v>2.1667611133001259E-2</v>
      </c>
      <c r="BW53" s="463">
        <f t="shared" si="114"/>
        <v>0</v>
      </c>
      <c r="BX53" s="463">
        <f t="shared" si="115"/>
        <v>3.7185219490729525E-2</v>
      </c>
      <c r="BY53" s="463">
        <f t="shared" si="116"/>
        <v>1.7384397163120565E-2</v>
      </c>
      <c r="BZ53" s="147">
        <f t="shared" si="62"/>
        <v>54.569616653850083</v>
      </c>
      <c r="CA53" s="153">
        <f t="shared" si="63"/>
        <v>0.13558557359464032</v>
      </c>
      <c r="CB53" s="5">
        <f t="shared" si="64"/>
        <v>0.72</v>
      </c>
      <c r="CC53" s="153">
        <f t="shared" si="65"/>
        <v>0.84152891565832066</v>
      </c>
      <c r="CD53" s="5">
        <f t="shared" si="66"/>
        <v>84.152891565832064</v>
      </c>
      <c r="CG53" s="59">
        <f t="shared" si="117"/>
        <v>-50</v>
      </c>
      <c r="CH53">
        <f t="shared" si="118"/>
        <v>-50</v>
      </c>
    </row>
    <row r="54" spans="5:86" x14ac:dyDescent="0.25">
      <c r="E54" s="150">
        <v>49</v>
      </c>
      <c r="F54" s="191">
        <f t="shared" si="119"/>
        <v>4.9000000000000002E-2</v>
      </c>
      <c r="G54" s="191"/>
      <c r="H54" s="191">
        <f t="shared" si="67"/>
        <v>0.73499999999999999</v>
      </c>
      <c r="I54" s="472">
        <f t="shared" si="68"/>
        <v>15</v>
      </c>
      <c r="J54" s="152">
        <f t="shared" si="69"/>
        <v>15.32</v>
      </c>
      <c r="K54" s="386">
        <f t="shared" si="70"/>
        <v>30.32</v>
      </c>
      <c r="L54" s="386"/>
      <c r="M54" s="191">
        <f t="shared" si="71"/>
        <v>0.50527704485488123</v>
      </c>
      <c r="N54" s="152">
        <f t="shared" si="72"/>
        <v>2.5579650395778364</v>
      </c>
      <c r="O54" s="152">
        <f t="shared" si="53"/>
        <v>0.73499999999999999</v>
      </c>
      <c r="P54" s="191">
        <f t="shared" si="73"/>
        <v>0.17053100263852242</v>
      </c>
      <c r="Q54" s="191">
        <f t="shared" si="74"/>
        <v>15</v>
      </c>
      <c r="R54" s="191">
        <f t="shared" si="75"/>
        <v>0.18947889182058048</v>
      </c>
      <c r="S54" s="152">
        <f t="shared" si="76"/>
        <v>88.370447353578257</v>
      </c>
      <c r="T54" s="152">
        <f t="shared" si="77"/>
        <v>15</v>
      </c>
      <c r="U54" s="191">
        <f t="shared" si="78"/>
        <v>0.21550333623440673</v>
      </c>
      <c r="V54" s="191">
        <f t="shared" si="79"/>
        <v>0.67524378686780773</v>
      </c>
      <c r="W54" s="191">
        <f t="shared" si="80"/>
        <v>0.66113947800372819</v>
      </c>
      <c r="X54" s="175">
        <f t="shared" si="81"/>
        <v>350</v>
      </c>
      <c r="Y54" s="386">
        <f t="shared" si="54"/>
        <v>350</v>
      </c>
      <c r="AA54" s="191">
        <f t="shared" si="82"/>
        <v>0.46073894667618365</v>
      </c>
      <c r="AB54" s="153">
        <f t="shared" si="83"/>
        <v>1.4134941575574826</v>
      </c>
      <c r="AC54" s="153">
        <f t="shared" si="84"/>
        <v>0.11396906662504547</v>
      </c>
      <c r="AD54" s="153"/>
      <c r="AE54" s="153">
        <f t="shared" si="85"/>
        <v>0.46018276762402083</v>
      </c>
      <c r="AF54" s="317">
        <f t="shared" si="86"/>
        <v>1419.7257683215134</v>
      </c>
      <c r="AG54" s="463">
        <f t="shared" si="87"/>
        <v>1.2079797650130546E-2</v>
      </c>
      <c r="AI54" s="153">
        <f t="shared" si="88"/>
        <v>0.31844777193683843</v>
      </c>
      <c r="AJ54" s="153">
        <f t="shared" si="89"/>
        <v>0.31844777193683843</v>
      </c>
      <c r="AK54" s="153">
        <f t="shared" si="90"/>
        <v>1.3122985146245589</v>
      </c>
      <c r="AM54" s="317">
        <f t="shared" si="91"/>
        <v>49</v>
      </c>
      <c r="AN54" s="147">
        <f t="shared" si="92"/>
        <v>350</v>
      </c>
      <c r="AP54">
        <f t="shared" si="93"/>
        <v>49</v>
      </c>
      <c r="AQ54" s="147">
        <f t="shared" si="94"/>
        <v>350</v>
      </c>
      <c r="AR54" s="147"/>
      <c r="AS54" s="5">
        <f t="shared" si="55"/>
        <v>2.8571428571428572</v>
      </c>
      <c r="AT54" s="5">
        <f t="shared" si="95"/>
        <v>0.99780301873542698</v>
      </c>
      <c r="AU54" s="5">
        <f t="shared" si="56"/>
        <v>1.8593398384074302</v>
      </c>
      <c r="AV54" s="5">
        <f t="shared" si="96"/>
        <v>0.97696118022398215</v>
      </c>
      <c r="AW54" s="153">
        <f t="shared" si="57"/>
        <v>0.34923105655739944</v>
      </c>
      <c r="AX54" s="153">
        <f t="shared" si="97"/>
        <v>0.83408888888888899</v>
      </c>
      <c r="AY54" s="153">
        <f t="shared" si="98"/>
        <v>0.10361796004249328</v>
      </c>
      <c r="AZ54" s="153">
        <f t="shared" si="58"/>
        <v>8.0496555669194088</v>
      </c>
      <c r="BA54" s="147">
        <f t="shared" si="99"/>
        <v>3.3279803794703455</v>
      </c>
      <c r="BB54" s="147">
        <f t="shared" si="100"/>
        <v>3.6293908789807396</v>
      </c>
      <c r="BC54" s="5">
        <f t="shared" si="101"/>
        <v>0.13497429938068753</v>
      </c>
      <c r="BD54" s="147">
        <f t="shared" si="102"/>
        <v>10.286405786884897</v>
      </c>
      <c r="BE54" s="5"/>
      <c r="BF54" s="153">
        <f t="shared" si="59"/>
        <v>0.10865107214564119</v>
      </c>
      <c r="BG54" s="153">
        <f t="shared" si="103"/>
        <v>0.14831702196797314</v>
      </c>
      <c r="BH54" s="153"/>
      <c r="BI54" s="463">
        <f t="shared" si="104"/>
        <v>4.1317694174390646E-3</v>
      </c>
      <c r="BJ54" s="463">
        <f t="shared" si="105"/>
        <v>1.6896838778968647E-2</v>
      </c>
      <c r="BK54" s="463">
        <f t="shared" si="106"/>
        <v>4.3749999999999995E-3</v>
      </c>
      <c r="BL54" s="463">
        <f t="shared" si="107"/>
        <v>1.6087792E-2</v>
      </c>
      <c r="BM54">
        <f t="shared" si="108"/>
        <v>4.3499999999999997E-3</v>
      </c>
      <c r="BN54">
        <f t="shared" si="109"/>
        <v>8.7499999999999992E-6</v>
      </c>
      <c r="BO54" s="463">
        <f t="shared" si="110"/>
        <v>4.6443343360531138E-2</v>
      </c>
      <c r="BP54" s="147">
        <f t="shared" si="60"/>
        <v>46.443343360531138</v>
      </c>
      <c r="BQ54" s="463">
        <f t="shared" si="111"/>
        <v>3.552442540016245E-2</v>
      </c>
      <c r="BR54" s="463"/>
      <c r="BT54" s="147">
        <f t="shared" si="61"/>
        <v>35.52442540016245</v>
      </c>
      <c r="BU54" s="463">
        <f t="shared" si="112"/>
        <v>1.1805055478397329E-2</v>
      </c>
      <c r="BV54" s="463">
        <f t="shared" si="113"/>
        <v>2.1997939005448226E-2</v>
      </c>
      <c r="BW54" s="463">
        <f t="shared" si="114"/>
        <v>0</v>
      </c>
      <c r="BX54" s="463">
        <f t="shared" si="115"/>
        <v>3.7962012197018349E-2</v>
      </c>
      <c r="BY54" s="463">
        <f t="shared" si="116"/>
        <v>1.7746572104018921E-2</v>
      </c>
      <c r="BZ54" s="147">
        <f t="shared" si="62"/>
        <v>55.70858430103727</v>
      </c>
      <c r="CA54" s="153">
        <f t="shared" si="63"/>
        <v>0.13767635306173087</v>
      </c>
      <c r="CB54" s="5">
        <f t="shared" si="64"/>
        <v>0.73499999999999999</v>
      </c>
      <c r="CC54" s="153">
        <f t="shared" si="65"/>
        <v>0.84223664067589099</v>
      </c>
      <c r="CD54" s="5">
        <f t="shared" si="66"/>
        <v>84.223664067589098</v>
      </c>
      <c r="CG54" s="59">
        <f t="shared" si="117"/>
        <v>-50</v>
      </c>
      <c r="CH54">
        <f t="shared" si="118"/>
        <v>-50</v>
      </c>
    </row>
    <row r="55" spans="5:86" x14ac:dyDescent="0.25">
      <c r="E55" s="150">
        <v>50</v>
      </c>
      <c r="F55" s="191">
        <f t="shared" si="119"/>
        <v>0.05</v>
      </c>
      <c r="G55" s="191"/>
      <c r="H55" s="191">
        <f t="shared" si="67"/>
        <v>0.75</v>
      </c>
      <c r="I55" s="472">
        <f t="shared" si="68"/>
        <v>15</v>
      </c>
      <c r="J55" s="152">
        <f t="shared" si="69"/>
        <v>15.32</v>
      </c>
      <c r="K55" s="386">
        <f t="shared" si="70"/>
        <v>30.32</v>
      </c>
      <c r="L55" s="386"/>
      <c r="M55" s="191">
        <f t="shared" si="71"/>
        <v>0.50527704485488123</v>
      </c>
      <c r="N55" s="152">
        <f t="shared" si="72"/>
        <v>2.5579650395778364</v>
      </c>
      <c r="O55" s="152">
        <f t="shared" si="53"/>
        <v>0.75</v>
      </c>
      <c r="P55" s="191">
        <f t="shared" si="73"/>
        <v>0.17053100263852242</v>
      </c>
      <c r="Q55" s="191">
        <f t="shared" si="74"/>
        <v>15</v>
      </c>
      <c r="R55" s="191">
        <f t="shared" si="75"/>
        <v>0.18947889182058048</v>
      </c>
      <c r="S55" s="152">
        <f t="shared" si="76"/>
        <v>86.305410992513657</v>
      </c>
      <c r="T55" s="152">
        <f t="shared" si="77"/>
        <v>15</v>
      </c>
      <c r="U55" s="191">
        <f t="shared" si="78"/>
        <v>0.21990136350449668</v>
      </c>
      <c r="V55" s="191">
        <f t="shared" si="79"/>
        <v>0.68902427231408958</v>
      </c>
      <c r="W55" s="191">
        <f t="shared" si="80"/>
        <v>0.67463212041196763</v>
      </c>
      <c r="X55" s="175">
        <f t="shared" si="81"/>
        <v>350</v>
      </c>
      <c r="Y55" s="386">
        <f t="shared" si="54"/>
        <v>350</v>
      </c>
      <c r="AA55" s="191">
        <f t="shared" si="82"/>
        <v>0.46073894667618365</v>
      </c>
      <c r="AB55" s="153">
        <f t="shared" si="83"/>
        <v>1.4134941575574826</v>
      </c>
      <c r="AC55" s="153">
        <f t="shared" si="84"/>
        <v>0.11396906662504547</v>
      </c>
      <c r="AD55" s="153"/>
      <c r="AE55" s="153">
        <f t="shared" si="85"/>
        <v>0.46018276762402083</v>
      </c>
      <c r="AF55" s="317">
        <f t="shared" si="86"/>
        <v>1448.699763593381</v>
      </c>
      <c r="AG55" s="463">
        <f t="shared" si="87"/>
        <v>1.2079797650130546E-2</v>
      </c>
      <c r="AI55" s="153">
        <f t="shared" si="88"/>
        <v>0.32168082712897939</v>
      </c>
      <c r="AJ55" s="153">
        <f t="shared" si="89"/>
        <v>0.32168082712897939</v>
      </c>
      <c r="AK55" s="153">
        <f t="shared" si="90"/>
        <v>1.3144538847526528</v>
      </c>
      <c r="AM55" s="317">
        <f t="shared" si="91"/>
        <v>50</v>
      </c>
      <c r="AN55" s="147">
        <f t="shared" si="92"/>
        <v>350</v>
      </c>
      <c r="AP55">
        <f t="shared" si="93"/>
        <v>50</v>
      </c>
      <c r="AQ55" s="147">
        <f t="shared" si="94"/>
        <v>350</v>
      </c>
      <c r="AR55" s="147"/>
      <c r="AS55" s="5">
        <f t="shared" si="55"/>
        <v>2.8571428571428572</v>
      </c>
      <c r="AT55" s="5">
        <f t="shared" si="95"/>
        <v>1.0079332583374685</v>
      </c>
      <c r="AU55" s="5">
        <f t="shared" si="56"/>
        <v>1.8492095988053887</v>
      </c>
      <c r="AV55" s="5">
        <f t="shared" si="96"/>
        <v>0.98687982213198622</v>
      </c>
      <c r="AW55" s="153">
        <f t="shared" si="57"/>
        <v>0.35277664041811396</v>
      </c>
      <c r="AX55" s="153">
        <f t="shared" si="97"/>
        <v>0.85111111111111093</v>
      </c>
      <c r="AY55" s="153">
        <f t="shared" si="98"/>
        <v>0.10409967282374898</v>
      </c>
      <c r="AZ55" s="153">
        <f t="shared" si="58"/>
        <v>8.1759249383245045</v>
      </c>
      <c r="BA55" s="147">
        <f t="shared" si="99"/>
        <v>3.3279803794703455</v>
      </c>
      <c r="BB55" s="147">
        <f t="shared" si="100"/>
        <v>3.775979674074073</v>
      </c>
      <c r="BC55" s="5">
        <f t="shared" si="101"/>
        <v>0.13697848880039917</v>
      </c>
      <c r="BD55" s="147">
        <f t="shared" si="102"/>
        <v>10.440053326696606</v>
      </c>
      <c r="BE55" s="5"/>
      <c r="BF55" s="153">
        <f t="shared" si="59"/>
        <v>0.11030989201152801</v>
      </c>
      <c r="BG55" s="153">
        <f t="shared" si="103"/>
        <v>0.14941411994364234</v>
      </c>
      <c r="BH55" s="153"/>
      <c r="BI55" s="463">
        <f t="shared" si="104"/>
        <v>4.2588952964582394E-3</v>
      </c>
      <c r="BJ55" s="463">
        <f t="shared" si="105"/>
        <v>1.7068384687463647E-2</v>
      </c>
      <c r="BK55" s="463">
        <f t="shared" si="106"/>
        <v>4.3749999999999995E-3</v>
      </c>
      <c r="BL55" s="463">
        <f t="shared" si="107"/>
        <v>1.6087792E-2</v>
      </c>
      <c r="BM55">
        <f t="shared" si="108"/>
        <v>4.3499999999999997E-3</v>
      </c>
      <c r="BN55">
        <f t="shared" si="109"/>
        <v>8.7499999999999992E-6</v>
      </c>
      <c r="BO55" s="463">
        <f t="shared" si="110"/>
        <v>4.6760515680827813E-2</v>
      </c>
      <c r="BP55" s="147">
        <f t="shared" si="60"/>
        <v>46.760515680827815</v>
      </c>
      <c r="BQ55" s="463">
        <f t="shared" si="111"/>
        <v>3.6155978538239333E-2</v>
      </c>
      <c r="BR55" s="463"/>
      <c r="BT55" s="147">
        <f t="shared" si="61"/>
        <v>36.155978538239331</v>
      </c>
      <c r="BU55" s="463">
        <f t="shared" si="112"/>
        <v>1.2168272275594971E-2</v>
      </c>
      <c r="BV55" s="463">
        <f t="shared" si="113"/>
        <v>2.2324579238533142E-2</v>
      </c>
      <c r="BW55" s="463">
        <f t="shared" si="114"/>
        <v>0</v>
      </c>
      <c r="BX55" s="463">
        <f t="shared" si="115"/>
        <v>3.8738890880701093E-2</v>
      </c>
      <c r="BY55" s="463">
        <f t="shared" si="116"/>
        <v>1.8108747044917259E-2</v>
      </c>
      <c r="BZ55" s="147">
        <f t="shared" si="62"/>
        <v>56.847637925618351</v>
      </c>
      <c r="CA55" s="153">
        <f t="shared" si="63"/>
        <v>0.1397641321446855</v>
      </c>
      <c r="CB55" s="5">
        <f t="shared" si="64"/>
        <v>0.75</v>
      </c>
      <c r="CC55" s="153">
        <f t="shared" si="65"/>
        <v>0.84292001992955323</v>
      </c>
      <c r="CD55" s="5">
        <f t="shared" si="66"/>
        <v>84.292001992955321</v>
      </c>
      <c r="CG55" s="59">
        <f t="shared" si="117"/>
        <v>-50</v>
      </c>
      <c r="CH55">
        <f t="shared" si="118"/>
        <v>-50</v>
      </c>
    </row>
    <row r="56" spans="5:86" x14ac:dyDescent="0.25">
      <c r="E56" s="150">
        <v>51</v>
      </c>
      <c r="F56" s="191">
        <f t="shared" si="119"/>
        <v>5.1000000000000004E-2</v>
      </c>
      <c r="G56" s="191"/>
      <c r="H56" s="191">
        <f t="shared" si="67"/>
        <v>0.76500000000000001</v>
      </c>
      <c r="I56" s="472">
        <f t="shared" si="68"/>
        <v>15</v>
      </c>
      <c r="J56" s="152">
        <f t="shared" si="69"/>
        <v>15.32</v>
      </c>
      <c r="K56" s="386">
        <f t="shared" si="70"/>
        <v>30.32</v>
      </c>
      <c r="L56" s="386"/>
      <c r="M56" s="191">
        <f t="shared" si="71"/>
        <v>0.50527704485488123</v>
      </c>
      <c r="N56" s="152">
        <f t="shared" si="72"/>
        <v>2.5579650395778364</v>
      </c>
      <c r="O56" s="152">
        <f t="shared" si="53"/>
        <v>0.76500000000000001</v>
      </c>
      <c r="P56" s="191">
        <f t="shared" si="73"/>
        <v>0.17053100263852242</v>
      </c>
      <c r="Q56" s="191">
        <f t="shared" si="74"/>
        <v>15</v>
      </c>
      <c r="R56" s="191">
        <f t="shared" si="75"/>
        <v>0.18947889182058048</v>
      </c>
      <c r="S56" s="152">
        <f t="shared" si="76"/>
        <v>84.321415708858083</v>
      </c>
      <c r="T56" s="152">
        <f t="shared" si="77"/>
        <v>15</v>
      </c>
      <c r="U56" s="191">
        <f t="shared" si="78"/>
        <v>0.22429939077458663</v>
      </c>
      <c r="V56" s="191">
        <f t="shared" si="79"/>
        <v>0.70280475776037143</v>
      </c>
      <c r="W56" s="191">
        <f t="shared" si="80"/>
        <v>0.68812476282020696</v>
      </c>
      <c r="X56" s="175">
        <f t="shared" si="81"/>
        <v>350</v>
      </c>
      <c r="Y56" s="386">
        <f t="shared" si="54"/>
        <v>350</v>
      </c>
      <c r="AA56" s="191">
        <f t="shared" si="82"/>
        <v>0.46073894667618365</v>
      </c>
      <c r="AB56" s="153">
        <f t="shared" si="83"/>
        <v>1.4134941575574826</v>
      </c>
      <c r="AC56" s="153">
        <f t="shared" si="84"/>
        <v>0.11396906662504547</v>
      </c>
      <c r="AD56" s="153"/>
      <c r="AE56" s="153">
        <f t="shared" si="85"/>
        <v>0.46018276762402083</v>
      </c>
      <c r="AF56" s="317">
        <f t="shared" si="86"/>
        <v>1477.6737588652486</v>
      </c>
      <c r="AG56" s="463">
        <f t="shared" si="87"/>
        <v>1.2079797650130546E-2</v>
      </c>
      <c r="AI56" s="153">
        <f t="shared" si="88"/>
        <v>0.32488171021655254</v>
      </c>
      <c r="AJ56" s="153">
        <f t="shared" si="89"/>
        <v>0.32488171021655254</v>
      </c>
      <c r="AK56" s="153">
        <f t="shared" si="90"/>
        <v>1.316587806811035</v>
      </c>
      <c r="AM56" s="317">
        <f t="shared" si="91"/>
        <v>51.000000000000007</v>
      </c>
      <c r="AN56" s="147">
        <f t="shared" si="92"/>
        <v>350</v>
      </c>
      <c r="AP56">
        <f t="shared" si="93"/>
        <v>51.000000000000007</v>
      </c>
      <c r="AQ56" s="147">
        <f t="shared" si="94"/>
        <v>350</v>
      </c>
      <c r="AR56" s="147"/>
      <c r="AS56" s="5">
        <f t="shared" si="55"/>
        <v>2.8571428571428572</v>
      </c>
      <c r="AT56" s="5">
        <f t="shared" si="95"/>
        <v>1.0179626920118645</v>
      </c>
      <c r="AU56" s="5">
        <f t="shared" si="56"/>
        <v>1.8391801651309927</v>
      </c>
      <c r="AV56" s="5">
        <f t="shared" si="96"/>
        <v>0.99669976371918856</v>
      </c>
      <c r="AW56" s="153">
        <f t="shared" si="57"/>
        <v>0.35628694220415258</v>
      </c>
      <c r="AX56" s="153">
        <f t="shared" si="97"/>
        <v>0.8681333333333332</v>
      </c>
      <c r="AY56" s="153">
        <f t="shared" si="98"/>
        <v>0.10456529955272072</v>
      </c>
      <c r="AZ56" s="153">
        <f t="shared" si="58"/>
        <v>8.3023080988318654</v>
      </c>
      <c r="BA56" s="147">
        <f t="shared" si="99"/>
        <v>3.3279803794703455</v>
      </c>
      <c r="BB56" s="147">
        <f t="shared" si="100"/>
        <v>3.9254692529066659</v>
      </c>
      <c r="BC56" s="5">
        <f t="shared" si="101"/>
        <v>0.13896027914323056</v>
      </c>
      <c r="BD56" s="147">
        <f t="shared" si="102"/>
        <v>10.592020935742294</v>
      </c>
      <c r="BE56" s="5"/>
      <c r="BF56" s="153">
        <f t="shared" si="59"/>
        <v>0.11196043785975469</v>
      </c>
      <c r="BG56" s="153">
        <f t="shared" si="103"/>
        <v>0.15049109242298256</v>
      </c>
      <c r="BH56" s="153"/>
      <c r="BI56" s="463">
        <f t="shared" si="104"/>
        <v>4.3872988760117974E-3</v>
      </c>
      <c r="BJ56" s="463">
        <f t="shared" si="105"/>
        <v>1.7238223544090277E-2</v>
      </c>
      <c r="BK56" s="463">
        <f t="shared" si="106"/>
        <v>4.3749999999999995E-3</v>
      </c>
      <c r="BL56" s="463">
        <f t="shared" si="107"/>
        <v>1.6087792E-2</v>
      </c>
      <c r="BM56">
        <f t="shared" si="108"/>
        <v>4.3499999999999997E-3</v>
      </c>
      <c r="BN56">
        <f t="shared" si="109"/>
        <v>8.7499999999999992E-6</v>
      </c>
      <c r="BO56" s="463">
        <f t="shared" si="110"/>
        <v>4.707745692859238E-2</v>
      </c>
      <c r="BP56" s="147">
        <f t="shared" si="60"/>
        <v>47.077456928592383</v>
      </c>
      <c r="BQ56" s="463">
        <f t="shared" si="111"/>
        <v>3.6784742638578297E-2</v>
      </c>
      <c r="BR56" s="463"/>
      <c r="BT56" s="147">
        <f t="shared" si="61"/>
        <v>36.784742638578294</v>
      </c>
      <c r="BU56" s="463">
        <f t="shared" si="112"/>
        <v>1.2535139645747992E-2</v>
      </c>
      <c r="BV56" s="463">
        <f t="shared" si="113"/>
        <v>2.2647568898662679E-2</v>
      </c>
      <c r="BW56" s="463">
        <f t="shared" si="114"/>
        <v>0</v>
      </c>
      <c r="BX56" s="463">
        <f t="shared" si="115"/>
        <v>3.951585555605288E-2</v>
      </c>
      <c r="BY56" s="463">
        <f t="shared" si="116"/>
        <v>1.8470921985815607E-2</v>
      </c>
      <c r="BZ56" s="147">
        <f t="shared" si="62"/>
        <v>57.986777541868484</v>
      </c>
      <c r="CA56" s="153">
        <f t="shared" si="63"/>
        <v>0.14184897710903915</v>
      </c>
      <c r="CB56" s="5">
        <f t="shared" si="64"/>
        <v>0.76500000000000001</v>
      </c>
      <c r="CC56" s="153">
        <f t="shared" si="65"/>
        <v>0.84358037480370529</v>
      </c>
      <c r="CD56" s="5">
        <f t="shared" si="66"/>
        <v>84.358037480370527</v>
      </c>
      <c r="CG56" s="59">
        <f t="shared" si="117"/>
        <v>-50</v>
      </c>
      <c r="CH56">
        <f t="shared" si="118"/>
        <v>-50</v>
      </c>
    </row>
    <row r="57" spans="5:86" x14ac:dyDescent="0.25">
      <c r="E57" s="150">
        <v>52</v>
      </c>
      <c r="F57" s="191">
        <f t="shared" si="119"/>
        <v>5.2000000000000005E-2</v>
      </c>
      <c r="G57" s="191"/>
      <c r="H57" s="191">
        <f t="shared" si="67"/>
        <v>0.78</v>
      </c>
      <c r="I57" s="472">
        <f t="shared" si="68"/>
        <v>15</v>
      </c>
      <c r="J57" s="152">
        <f t="shared" si="69"/>
        <v>15.32</v>
      </c>
      <c r="K57" s="386">
        <f t="shared" si="70"/>
        <v>30.32</v>
      </c>
      <c r="L57" s="386"/>
      <c r="M57" s="191">
        <f t="shared" si="71"/>
        <v>0.50527704485488123</v>
      </c>
      <c r="N57" s="152">
        <f t="shared" si="72"/>
        <v>2.5579650395778364</v>
      </c>
      <c r="O57" s="152">
        <f t="shared" si="53"/>
        <v>0.78</v>
      </c>
      <c r="P57" s="191">
        <f t="shared" si="73"/>
        <v>0.17053100263852242</v>
      </c>
      <c r="Q57" s="191">
        <f t="shared" si="74"/>
        <v>15</v>
      </c>
      <c r="R57" s="191">
        <f t="shared" si="75"/>
        <v>0.18947889182058048</v>
      </c>
      <c r="S57" s="152">
        <f t="shared" si="76"/>
        <v>82.413786640522943</v>
      </c>
      <c r="T57" s="152">
        <f t="shared" si="77"/>
        <v>15</v>
      </c>
      <c r="U57" s="191">
        <f t="shared" si="78"/>
        <v>0.22869741804467655</v>
      </c>
      <c r="V57" s="191">
        <f t="shared" si="79"/>
        <v>0.71658524320665329</v>
      </c>
      <c r="W57" s="191">
        <f t="shared" si="80"/>
        <v>0.7016174052284464</v>
      </c>
      <c r="X57" s="175">
        <f t="shared" si="81"/>
        <v>350</v>
      </c>
      <c r="Y57" s="386">
        <f t="shared" si="54"/>
        <v>350</v>
      </c>
      <c r="AA57" s="191">
        <f t="shared" si="82"/>
        <v>0.46073894667618365</v>
      </c>
      <c r="AB57" s="153">
        <f t="shared" si="83"/>
        <v>1.4134941575574826</v>
      </c>
      <c r="AC57" s="153">
        <f t="shared" si="84"/>
        <v>0.11396906662504547</v>
      </c>
      <c r="AD57" s="153"/>
      <c r="AE57" s="153">
        <f t="shared" si="85"/>
        <v>0.46018276762402083</v>
      </c>
      <c r="AF57" s="317">
        <f t="shared" si="86"/>
        <v>1506.6477541371162</v>
      </c>
      <c r="AG57" s="463">
        <f t="shared" si="87"/>
        <v>1.2079797650130546E-2</v>
      </c>
      <c r="AI57" s="153">
        <f t="shared" si="88"/>
        <v>0.32805136293586662</v>
      </c>
      <c r="AJ57" s="153">
        <f t="shared" si="89"/>
        <v>0.32805136293586662</v>
      </c>
      <c r="AK57" s="153">
        <f t="shared" si="90"/>
        <v>1.318700908623911</v>
      </c>
      <c r="AM57" s="317">
        <f t="shared" si="91"/>
        <v>52.000000000000007</v>
      </c>
      <c r="AN57" s="147">
        <f t="shared" si="92"/>
        <v>350</v>
      </c>
      <c r="AP57">
        <f t="shared" si="93"/>
        <v>52.000000000000007</v>
      </c>
      <c r="AQ57" s="147">
        <f t="shared" si="94"/>
        <v>350</v>
      </c>
      <c r="AR57" s="147"/>
      <c r="AS57" s="5">
        <f t="shared" si="55"/>
        <v>2.8571428571428572</v>
      </c>
      <c r="AT57" s="5">
        <f t="shared" si="95"/>
        <v>1.0278942705323821</v>
      </c>
      <c r="AU57" s="5">
        <f t="shared" si="56"/>
        <v>1.8292485866104751</v>
      </c>
      <c r="AV57" s="5">
        <f t="shared" si="96"/>
        <v>1.0064238941243948</v>
      </c>
      <c r="AW57" s="153">
        <f t="shared" si="57"/>
        <v>0.35976299468633371</v>
      </c>
      <c r="AX57" s="153">
        <f t="shared" si="97"/>
        <v>0.88515555555555536</v>
      </c>
      <c r="AY57" s="153">
        <f t="shared" si="98"/>
        <v>0.10501531109756296</v>
      </c>
      <c r="AZ57" s="153">
        <f t="shared" si="58"/>
        <v>8.4288238191592306</v>
      </c>
      <c r="BA57" s="147">
        <f t="shared" si="99"/>
        <v>3.3279803794703455</v>
      </c>
      <c r="BB57" s="147">
        <f t="shared" si="100"/>
        <v>4.0778596154785181</v>
      </c>
      <c r="BC57" s="5">
        <f t="shared" si="101"/>
        <v>0.14091989111665884</v>
      </c>
      <c r="BD57" s="147">
        <f t="shared" si="102"/>
        <v>10.742325167082745</v>
      </c>
      <c r="BE57" s="5"/>
      <c r="BF57" s="153">
        <f t="shared" si="59"/>
        <v>0.11360291201476096</v>
      </c>
      <c r="BG57" s="153">
        <f t="shared" si="103"/>
        <v>0.15154848714672053</v>
      </c>
      <c r="BH57" s="153"/>
      <c r="BI57" s="463">
        <f t="shared" si="104"/>
        <v>4.5169675663817316E-3</v>
      </c>
      <c r="BJ57" s="463">
        <f t="shared" si="105"/>
        <v>1.7406405317377083E-2</v>
      </c>
      <c r="BK57" s="463">
        <f t="shared" si="106"/>
        <v>4.3749999999999995E-3</v>
      </c>
      <c r="BL57" s="463">
        <f t="shared" si="107"/>
        <v>1.6087792E-2</v>
      </c>
      <c r="BM57">
        <f t="shared" si="108"/>
        <v>4.3499999999999997E-3</v>
      </c>
      <c r="BN57">
        <f t="shared" si="109"/>
        <v>8.7499999999999992E-6</v>
      </c>
      <c r="BO57" s="463">
        <f t="shared" si="110"/>
        <v>4.7394202910497188E-2</v>
      </c>
      <c r="BP57" s="147">
        <f t="shared" si="60"/>
        <v>47.394202910497185</v>
      </c>
      <c r="BQ57" s="463">
        <f t="shared" si="111"/>
        <v>3.7410745182735232E-2</v>
      </c>
      <c r="BR57" s="463"/>
      <c r="BT57" s="147">
        <f t="shared" si="61"/>
        <v>37.410745182735234</v>
      </c>
      <c r="BU57" s="463">
        <f t="shared" si="112"/>
        <v>1.2905621618233519E-2</v>
      </c>
      <c r="BV57" s="463">
        <f t="shared" si="113"/>
        <v>2.2966943956459721E-2</v>
      </c>
      <c r="BW57" s="463">
        <f t="shared" si="114"/>
        <v>0</v>
      </c>
      <c r="BX57" s="463">
        <f t="shared" si="115"/>
        <v>4.0292906237351982E-2</v>
      </c>
      <c r="BY57" s="463">
        <f t="shared" si="116"/>
        <v>1.8833096926713946E-2</v>
      </c>
      <c r="BZ57" s="147">
        <f t="shared" si="62"/>
        <v>59.126003164065921</v>
      </c>
      <c r="CA57" s="153">
        <f t="shared" si="63"/>
        <v>0.14393095125729835</v>
      </c>
      <c r="CB57" s="5">
        <f t="shared" si="64"/>
        <v>0.78</v>
      </c>
      <c r="CC57" s="153">
        <f t="shared" si="65"/>
        <v>0.84421893101271794</v>
      </c>
      <c r="CD57" s="5">
        <f t="shared" si="66"/>
        <v>84.421893101271792</v>
      </c>
      <c r="CG57" s="59">
        <f t="shared" si="117"/>
        <v>-50</v>
      </c>
      <c r="CH57">
        <f t="shared" si="118"/>
        <v>-50</v>
      </c>
    </row>
    <row r="58" spans="5:86" x14ac:dyDescent="0.25">
      <c r="E58" s="150">
        <v>53</v>
      </c>
      <c r="F58" s="191">
        <f t="shared" si="119"/>
        <v>5.3000000000000005E-2</v>
      </c>
      <c r="G58" s="191"/>
      <c r="H58" s="191">
        <f t="shared" si="67"/>
        <v>0.79500000000000004</v>
      </c>
      <c r="I58" s="472">
        <f t="shared" si="68"/>
        <v>15</v>
      </c>
      <c r="J58" s="152">
        <f t="shared" si="69"/>
        <v>15.32</v>
      </c>
      <c r="K58" s="386">
        <f t="shared" si="70"/>
        <v>30.32</v>
      </c>
      <c r="L58" s="386"/>
      <c r="M58" s="191">
        <f t="shared" si="71"/>
        <v>0.50527704485488123</v>
      </c>
      <c r="N58" s="152">
        <f t="shared" si="72"/>
        <v>2.5579650395778364</v>
      </c>
      <c r="O58" s="152">
        <f t="shared" si="53"/>
        <v>0.79500000000000004</v>
      </c>
      <c r="P58" s="191">
        <f t="shared" si="73"/>
        <v>0.17053100263852242</v>
      </c>
      <c r="Q58" s="191">
        <f t="shared" si="74"/>
        <v>15</v>
      </c>
      <c r="R58" s="191">
        <f t="shared" si="75"/>
        <v>0.18947889182058048</v>
      </c>
      <c r="S58" s="152">
        <f t="shared" si="76"/>
        <v>80.578201752672896</v>
      </c>
      <c r="T58" s="152">
        <f t="shared" si="77"/>
        <v>15</v>
      </c>
      <c r="U58" s="191">
        <f t="shared" si="78"/>
        <v>0.2330954453147665</v>
      </c>
      <c r="V58" s="191">
        <f t="shared" si="79"/>
        <v>0.73036572865293503</v>
      </c>
      <c r="W58" s="191">
        <f t="shared" si="80"/>
        <v>0.71511004763668573</v>
      </c>
      <c r="X58" s="175">
        <f t="shared" si="81"/>
        <v>350</v>
      </c>
      <c r="Y58" s="386">
        <f t="shared" si="54"/>
        <v>350</v>
      </c>
      <c r="AA58" s="191">
        <f t="shared" si="82"/>
        <v>0.46073894667618365</v>
      </c>
      <c r="AB58" s="153">
        <f t="shared" si="83"/>
        <v>1.4134941575574826</v>
      </c>
      <c r="AC58" s="153">
        <f t="shared" si="84"/>
        <v>0.11396906662504547</v>
      </c>
      <c r="AD58" s="153"/>
      <c r="AE58" s="153">
        <f t="shared" si="85"/>
        <v>0.46018276762402083</v>
      </c>
      <c r="AF58" s="317">
        <f t="shared" si="86"/>
        <v>1535.6217494089838</v>
      </c>
      <c r="AG58" s="463">
        <f t="shared" si="87"/>
        <v>1.2079797650130546E-2</v>
      </c>
      <c r="AI58" s="153">
        <f t="shared" si="88"/>
        <v>0.33119068195667489</v>
      </c>
      <c r="AJ58" s="153">
        <f t="shared" si="89"/>
        <v>0.33119068195667489</v>
      </c>
      <c r="AK58" s="153">
        <f t="shared" si="90"/>
        <v>1.3207937879711165</v>
      </c>
      <c r="AM58" s="317">
        <f t="shared" si="91"/>
        <v>53.000000000000007</v>
      </c>
      <c r="AN58" s="147">
        <f t="shared" si="92"/>
        <v>350</v>
      </c>
      <c r="AP58">
        <f t="shared" si="93"/>
        <v>53.000000000000007</v>
      </c>
      <c r="AQ58" s="147">
        <f t="shared" si="94"/>
        <v>350</v>
      </c>
      <c r="AR58" s="147"/>
      <c r="AS58" s="5">
        <f t="shared" si="55"/>
        <v>2.8571428571428572</v>
      </c>
      <c r="AT58" s="5">
        <f t="shared" si="95"/>
        <v>1.0377308034642478</v>
      </c>
      <c r="AU58" s="5">
        <f t="shared" si="56"/>
        <v>1.8194120536786094</v>
      </c>
      <c r="AV58" s="5">
        <f t="shared" si="96"/>
        <v>1.0160549642273968</v>
      </c>
      <c r="AW58" s="153">
        <f t="shared" si="57"/>
        <v>0.36320578121248676</v>
      </c>
      <c r="AX58" s="153">
        <f t="shared" si="97"/>
        <v>0.90217777777777763</v>
      </c>
      <c r="AY58" s="153">
        <f t="shared" si="98"/>
        <v>0.10545015579315228</v>
      </c>
      <c r="AZ58" s="153">
        <f t="shared" si="58"/>
        <v>8.5554902313037946</v>
      </c>
      <c r="BA58" s="147">
        <f t="shared" si="99"/>
        <v>3.3279803794703455</v>
      </c>
      <c r="BB58" s="147">
        <f t="shared" si="100"/>
        <v>4.2331507617896289</v>
      </c>
      <c r="BC58" s="5">
        <f t="shared" si="101"/>
        <v>0.14285753902957968</v>
      </c>
      <c r="BD58" s="147">
        <f t="shared" si="102"/>
        <v>10.890982093885144</v>
      </c>
      <c r="BE58" s="5"/>
      <c r="BF58" s="153">
        <f t="shared" si="59"/>
        <v>0.11523750806599958</v>
      </c>
      <c r="BG58" s="153">
        <f t="shared" si="103"/>
        <v>0.15258682557715944</v>
      </c>
      <c r="BH58" s="153"/>
      <c r="BI58" s="463">
        <f t="shared" si="104"/>
        <v>4.6478891428414614E-3</v>
      </c>
      <c r="BJ58" s="463">
        <f t="shared" si="105"/>
        <v>1.7572977584621167E-2</v>
      </c>
      <c r="BK58" s="463">
        <f t="shared" si="106"/>
        <v>4.3749999999999995E-3</v>
      </c>
      <c r="BL58" s="463">
        <f t="shared" si="107"/>
        <v>1.6087792E-2</v>
      </c>
      <c r="BM58">
        <f t="shared" si="108"/>
        <v>4.3499999999999997E-3</v>
      </c>
      <c r="BN58">
        <f t="shared" si="109"/>
        <v>8.7499999999999992E-6</v>
      </c>
      <c r="BO58" s="463">
        <f t="shared" si="110"/>
        <v>4.7710787457959841E-2</v>
      </c>
      <c r="BP58" s="147">
        <f t="shared" si="60"/>
        <v>47.710787457959839</v>
      </c>
      <c r="BQ58" s="463">
        <f t="shared" si="111"/>
        <v>3.8034012855541866E-2</v>
      </c>
      <c r="BR58" s="463"/>
      <c r="BT58" s="147">
        <f t="shared" si="61"/>
        <v>38.034012855541867</v>
      </c>
      <c r="BU58" s="463">
        <f t="shared" si="112"/>
        <v>1.3279683265261319E-2</v>
      </c>
      <c r="BV58" s="463">
        <f t="shared" si="113"/>
        <v>2.3282739339714479E-2</v>
      </c>
      <c r="BW58" s="463">
        <f t="shared" si="114"/>
        <v>0</v>
      </c>
      <c r="BX58" s="463">
        <f t="shared" si="115"/>
        <v>4.107004293887976E-2</v>
      </c>
      <c r="BY58" s="463">
        <f t="shared" si="116"/>
        <v>1.9195271867612298E-2</v>
      </c>
      <c r="BZ58" s="147">
        <f t="shared" si="62"/>
        <v>60.265314806492057</v>
      </c>
      <c r="CA58" s="153">
        <f t="shared" si="63"/>
        <v>0.14601011511999376</v>
      </c>
      <c r="CB58" s="5">
        <f t="shared" si="64"/>
        <v>0.79500000000000004</v>
      </c>
      <c r="CC58" s="153">
        <f t="shared" si="65"/>
        <v>0.84483682717759612</v>
      </c>
      <c r="CD58" s="5">
        <f t="shared" si="66"/>
        <v>84.483682717759606</v>
      </c>
      <c r="CG58" s="59">
        <f t="shared" si="117"/>
        <v>-50</v>
      </c>
      <c r="CH58">
        <f t="shared" si="118"/>
        <v>-50</v>
      </c>
    </row>
    <row r="59" spans="5:86" x14ac:dyDescent="0.25">
      <c r="E59" s="150">
        <v>54</v>
      </c>
      <c r="F59" s="191">
        <f t="shared" si="119"/>
        <v>5.4000000000000006E-2</v>
      </c>
      <c r="G59" s="191"/>
      <c r="H59" s="191">
        <f t="shared" si="67"/>
        <v>0.81</v>
      </c>
      <c r="I59" s="472">
        <f t="shared" si="68"/>
        <v>15</v>
      </c>
      <c r="J59" s="152">
        <f t="shared" si="69"/>
        <v>15.32</v>
      </c>
      <c r="K59" s="386">
        <f t="shared" si="70"/>
        <v>30.32</v>
      </c>
      <c r="L59" s="386"/>
      <c r="M59" s="191">
        <f t="shared" si="71"/>
        <v>0.50527704485488123</v>
      </c>
      <c r="N59" s="152">
        <f t="shared" si="72"/>
        <v>2.5579650395778364</v>
      </c>
      <c r="O59" s="152">
        <f t="shared" si="53"/>
        <v>0.81</v>
      </c>
      <c r="P59" s="191">
        <f t="shared" si="73"/>
        <v>0.17053100263852242</v>
      </c>
      <c r="Q59" s="191">
        <f t="shared" si="74"/>
        <v>15</v>
      </c>
      <c r="R59" s="191">
        <f t="shared" si="75"/>
        <v>0.18947889182058048</v>
      </c>
      <c r="S59" s="152">
        <f t="shared" si="76"/>
        <v>78.810659168651299</v>
      </c>
      <c r="T59" s="152">
        <f t="shared" si="77"/>
        <v>15</v>
      </c>
      <c r="U59" s="191">
        <f t="shared" si="78"/>
        <v>0.23749347258485642</v>
      </c>
      <c r="V59" s="191">
        <f t="shared" si="79"/>
        <v>0.74414621409921666</v>
      </c>
      <c r="W59" s="191">
        <f t="shared" si="80"/>
        <v>0.72860269004492495</v>
      </c>
      <c r="X59" s="175">
        <f t="shared" si="81"/>
        <v>350</v>
      </c>
      <c r="Y59" s="386">
        <f t="shared" si="54"/>
        <v>350</v>
      </c>
      <c r="AA59" s="191">
        <f t="shared" si="82"/>
        <v>0.46073894667618365</v>
      </c>
      <c r="AB59" s="153">
        <f t="shared" si="83"/>
        <v>1.4134941575574826</v>
      </c>
      <c r="AC59" s="153">
        <f t="shared" si="84"/>
        <v>0.11396906662504547</v>
      </c>
      <c r="AD59" s="153"/>
      <c r="AE59" s="153">
        <f t="shared" si="85"/>
        <v>0.46018276762402083</v>
      </c>
      <c r="AF59" s="317">
        <f t="shared" si="86"/>
        <v>1564.5957446808518</v>
      </c>
      <c r="AG59" s="463">
        <f t="shared" si="87"/>
        <v>1.2079797650130546E-2</v>
      </c>
      <c r="AI59" s="153">
        <f t="shared" si="88"/>
        <v>0.33430052184490389</v>
      </c>
      <c r="AJ59" s="153">
        <f t="shared" si="89"/>
        <v>0.33430052184490389</v>
      </c>
      <c r="AK59" s="153">
        <f t="shared" si="90"/>
        <v>1.3228670145632693</v>
      </c>
      <c r="AM59" s="317">
        <f t="shared" si="91"/>
        <v>54.000000000000007</v>
      </c>
      <c r="AN59" s="147">
        <f t="shared" si="92"/>
        <v>350</v>
      </c>
      <c r="AP59">
        <f t="shared" si="93"/>
        <v>54.000000000000007</v>
      </c>
      <c r="AQ59" s="147">
        <f t="shared" si="94"/>
        <v>350</v>
      </c>
      <c r="AR59" s="147"/>
      <c r="AS59" s="5">
        <f t="shared" si="55"/>
        <v>2.8571428571428572</v>
      </c>
      <c r="AT59" s="5">
        <f t="shared" si="95"/>
        <v>1.0474749684473654</v>
      </c>
      <c r="AU59" s="5">
        <f t="shared" si="56"/>
        <v>1.8096678886954918</v>
      </c>
      <c r="AV59" s="5">
        <f t="shared" si="96"/>
        <v>1.0255955957382819</v>
      </c>
      <c r="AW59" s="153">
        <f t="shared" si="57"/>
        <v>0.36661623895657791</v>
      </c>
      <c r="AX59" s="153">
        <f t="shared" si="97"/>
        <v>0.9191999999999998</v>
      </c>
      <c r="AY59" s="153">
        <f t="shared" si="98"/>
        <v>0.10587026092245196</v>
      </c>
      <c r="AZ59" s="153">
        <f t="shared" si="58"/>
        <v>8.6823248756635927</v>
      </c>
      <c r="BA59" s="147">
        <f t="shared" si="99"/>
        <v>3.3279803794703455</v>
      </c>
      <c r="BB59" s="147">
        <f t="shared" si="100"/>
        <v>4.3913426918399994</v>
      </c>
      <c r="BC59" s="5">
        <f t="shared" si="101"/>
        <v>0.14477343109563937</v>
      </c>
      <c r="BD59" s="147">
        <f t="shared" si="102"/>
        <v>11.038007332172951</v>
      </c>
      <c r="BE59" s="5"/>
      <c r="BF59" s="153">
        <f t="shared" si="59"/>
        <v>0.1168644114024331</v>
      </c>
      <c r="BG59" s="153">
        <f t="shared" si="103"/>
        <v>0.15360660461979236</v>
      </c>
      <c r="BH59" s="153"/>
      <c r="BI59" s="463">
        <f t="shared" si="104"/>
        <v>4.7800517283529973E-3</v>
      </c>
      <c r="BJ59" s="463">
        <f t="shared" si="105"/>
        <v>1.7737985689090602E-2</v>
      </c>
      <c r="BK59" s="463">
        <f t="shared" si="106"/>
        <v>4.3749999999999995E-3</v>
      </c>
      <c r="BL59" s="463">
        <f t="shared" si="107"/>
        <v>1.6087792E-2</v>
      </c>
      <c r="BM59">
        <f t="shared" si="108"/>
        <v>4.3499999999999997E-3</v>
      </c>
      <c r="BN59">
        <f t="shared" si="109"/>
        <v>8.7499999999999992E-6</v>
      </c>
      <c r="BO59" s="463">
        <f t="shared" si="110"/>
        <v>4.8027242564627717E-2</v>
      </c>
      <c r="BP59" s="147">
        <f t="shared" si="60"/>
        <v>48.02724256462772</v>
      </c>
      <c r="BQ59" s="463">
        <f t="shared" si="111"/>
        <v>3.865457158287542E-2</v>
      </c>
      <c r="BR59" s="463"/>
      <c r="BT59" s="147">
        <f t="shared" si="61"/>
        <v>38.65457158287542</v>
      </c>
      <c r="BU59" s="463">
        <f t="shared" si="112"/>
        <v>1.3657290652437136E-2</v>
      </c>
      <c r="BV59" s="463">
        <f t="shared" si="113"/>
        <v>2.3594988982821218E-2</v>
      </c>
      <c r="BW59" s="463">
        <f t="shared" si="114"/>
        <v>0</v>
      </c>
      <c r="BX59" s="463">
        <f t="shared" si="115"/>
        <v>4.1847265674920808E-2</v>
      </c>
      <c r="BY59" s="463">
        <f t="shared" si="116"/>
        <v>1.955744680851064E-2</v>
      </c>
      <c r="BZ59" s="147">
        <f t="shared" si="62"/>
        <v>61.404712483431446</v>
      </c>
      <c r="CA59" s="153">
        <f t="shared" si="63"/>
        <v>0.14808652663093458</v>
      </c>
      <c r="CB59" s="5">
        <f t="shared" si="64"/>
        <v>0.81</v>
      </c>
      <c r="CC59" s="153">
        <f t="shared" si="65"/>
        <v>0.84543512249183406</v>
      </c>
      <c r="CD59" s="5">
        <f t="shared" si="66"/>
        <v>84.543512249183408</v>
      </c>
      <c r="CG59" s="59">
        <f t="shared" si="117"/>
        <v>-50</v>
      </c>
      <c r="CH59">
        <f t="shared" si="118"/>
        <v>-50</v>
      </c>
    </row>
    <row r="60" spans="5:86" x14ac:dyDescent="0.25">
      <c r="E60" s="150">
        <v>55</v>
      </c>
      <c r="F60" s="191">
        <f t="shared" si="119"/>
        <v>5.5000000000000007E-2</v>
      </c>
      <c r="G60" s="191"/>
      <c r="H60" s="191">
        <f t="shared" si="67"/>
        <v>0.82500000000000007</v>
      </c>
      <c r="I60" s="472">
        <f t="shared" si="68"/>
        <v>15</v>
      </c>
      <c r="J60" s="152">
        <f t="shared" si="69"/>
        <v>15.32</v>
      </c>
      <c r="K60" s="386">
        <f t="shared" si="70"/>
        <v>30.32</v>
      </c>
      <c r="L60" s="386"/>
      <c r="M60" s="191">
        <f t="shared" si="71"/>
        <v>0.50527704485488123</v>
      </c>
      <c r="N60" s="152">
        <f t="shared" si="72"/>
        <v>2.5579650395778364</v>
      </c>
      <c r="O60" s="152">
        <f t="shared" si="53"/>
        <v>0.82500000000000007</v>
      </c>
      <c r="P60" s="191">
        <f t="shared" si="73"/>
        <v>0.17053100263852242</v>
      </c>
      <c r="Q60" s="191">
        <f t="shared" si="74"/>
        <v>15</v>
      </c>
      <c r="R60" s="191">
        <f t="shared" si="75"/>
        <v>0.18947889182058048</v>
      </c>
      <c r="S60" s="152">
        <f t="shared" si="76"/>
        <v>77.107448064806775</v>
      </c>
      <c r="T60" s="152">
        <f t="shared" si="77"/>
        <v>15</v>
      </c>
      <c r="U60" s="191">
        <f t="shared" si="78"/>
        <v>0.24189149985494637</v>
      </c>
      <c r="V60" s="191">
        <f t="shared" si="79"/>
        <v>0.75792669954549863</v>
      </c>
      <c r="W60" s="191">
        <f t="shared" si="80"/>
        <v>0.74209533245316439</v>
      </c>
      <c r="X60" s="175">
        <f t="shared" si="81"/>
        <v>350</v>
      </c>
      <c r="Y60" s="386">
        <f t="shared" si="54"/>
        <v>350</v>
      </c>
      <c r="AA60" s="191">
        <f t="shared" si="82"/>
        <v>0.46073894667618365</v>
      </c>
      <c r="AB60" s="153">
        <f t="shared" si="83"/>
        <v>1.4134941575574826</v>
      </c>
      <c r="AC60" s="153">
        <f t="shared" si="84"/>
        <v>0.11396906662504547</v>
      </c>
      <c r="AD60" s="153"/>
      <c r="AE60" s="153">
        <f t="shared" si="85"/>
        <v>0.46018276762402083</v>
      </c>
      <c r="AF60" s="317">
        <f t="shared" si="86"/>
        <v>1593.5697399527194</v>
      </c>
      <c r="AG60" s="463">
        <f t="shared" si="87"/>
        <v>1.2079797650130546E-2</v>
      </c>
      <c r="AI60" s="153">
        <f t="shared" si="88"/>
        <v>0.3373816977795665</v>
      </c>
      <c r="AJ60" s="153">
        <f t="shared" si="89"/>
        <v>0.3373816977795665</v>
      </c>
      <c r="AK60" s="153">
        <f t="shared" si="90"/>
        <v>1.3249211318530443</v>
      </c>
      <c r="AM60" s="317">
        <f t="shared" si="91"/>
        <v>55.000000000000007</v>
      </c>
      <c r="AN60" s="147">
        <f t="shared" si="92"/>
        <v>350</v>
      </c>
      <c r="AP60">
        <f t="shared" si="93"/>
        <v>55.000000000000007</v>
      </c>
      <c r="AQ60">
        <f t="shared" si="94"/>
        <v>350</v>
      </c>
      <c r="AS60" s="5">
        <f t="shared" si="55"/>
        <v>2.8571428571428572</v>
      </c>
      <c r="AT60" s="5">
        <f t="shared" si="95"/>
        <v>1.0571293197093083</v>
      </c>
      <c r="AU60" s="5">
        <f t="shared" si="56"/>
        <v>1.8000135374335489</v>
      </c>
      <c r="AV60" s="5">
        <f t="shared" si="96"/>
        <v>1.0350482895326123</v>
      </c>
      <c r="AW60" s="153">
        <f t="shared" si="57"/>
        <v>0.36999526189825793</v>
      </c>
      <c r="AX60" s="153">
        <f t="shared" si="97"/>
        <v>0.93622222222222196</v>
      </c>
      <c r="AY60" s="153">
        <f t="shared" si="98"/>
        <v>0.10627603407496844</v>
      </c>
      <c r="AZ60" s="153">
        <f t="shared" si="58"/>
        <v>8.8093447442891879</v>
      </c>
      <c r="BA60" s="147">
        <f t="shared" si="99"/>
        <v>3.3279803794703455</v>
      </c>
      <c r="BB60" s="147">
        <f t="shared" si="100"/>
        <v>4.5524354056296286</v>
      </c>
      <c r="BC60" s="5">
        <f t="shared" si="101"/>
        <v>0.1466677697168077</v>
      </c>
      <c r="BD60" s="147">
        <f t="shared" si="102"/>
        <v>11.183416062093912</v>
      </c>
      <c r="BE60" s="5"/>
      <c r="BF60" s="153">
        <f t="shared" si="59"/>
        <v>0.11848379970504958</v>
      </c>
      <c r="BG60" s="153">
        <f t="shared" si="103"/>
        <v>0.15460829820224595</v>
      </c>
      <c r="BH60" s="153"/>
      <c r="BI60" s="463">
        <f t="shared" si="104"/>
        <v>4.9134437773912069E-3</v>
      </c>
      <c r="BJ60" s="463">
        <f t="shared" si="105"/>
        <v>1.7901472884183797E-2</v>
      </c>
      <c r="BK60" s="463">
        <f t="shared" si="106"/>
        <v>4.3749999999999995E-3</v>
      </c>
      <c r="BL60" s="463">
        <f t="shared" si="107"/>
        <v>1.6087792E-2</v>
      </c>
      <c r="BM60">
        <f t="shared" si="108"/>
        <v>4.3499999999999997E-3</v>
      </c>
      <c r="BN60">
        <f t="shared" si="109"/>
        <v>8.7499999999999992E-6</v>
      </c>
      <c r="BO60" s="463">
        <f t="shared" si="110"/>
        <v>4.8343598512104083E-2</v>
      </c>
      <c r="BP60" s="147">
        <f t="shared" si="60"/>
        <v>48.34359851210408</v>
      </c>
      <c r="BQ60" s="463">
        <f t="shared" si="111"/>
        <v>3.9272446566967885E-2</v>
      </c>
      <c r="BR60" s="463"/>
      <c r="BT60" s="147">
        <f t="shared" si="61"/>
        <v>39.272446566967886</v>
      </c>
      <c r="BU60" s="463">
        <f t="shared" si="112"/>
        <v>1.4038410792546306E-2</v>
      </c>
      <c r="BV60" s="463">
        <f t="shared" si="113"/>
        <v>2.3903725872994608E-2</v>
      </c>
      <c r="BW60" s="463">
        <f t="shared" si="114"/>
        <v>0</v>
      </c>
      <c r="BX60" s="463">
        <f t="shared" si="115"/>
        <v>4.2624574459762851E-2</v>
      </c>
      <c r="BY60" s="463">
        <f t="shared" si="116"/>
        <v>1.9919621749408985E-2</v>
      </c>
      <c r="BZ60" s="147">
        <f t="shared" si="62"/>
        <v>62.544196209171844</v>
      </c>
      <c r="CA60" s="153">
        <f t="shared" si="63"/>
        <v>0.15016024128824379</v>
      </c>
      <c r="CB60" s="5">
        <f t="shared" si="64"/>
        <v>0.82500000000000007</v>
      </c>
      <c r="CC60" s="153">
        <f t="shared" si="65"/>
        <v>0.8460148035876921</v>
      </c>
      <c r="CD60" s="5">
        <f t="shared" si="66"/>
        <v>84.601480358769209</v>
      </c>
      <c r="CG60" s="59">
        <f t="shared" si="117"/>
        <v>-50</v>
      </c>
      <c r="CH60">
        <f t="shared" si="118"/>
        <v>-50</v>
      </c>
    </row>
    <row r="61" spans="5:86" x14ac:dyDescent="0.25">
      <c r="E61" s="150">
        <v>56</v>
      </c>
      <c r="F61" s="191">
        <f t="shared" si="119"/>
        <v>5.6000000000000008E-2</v>
      </c>
      <c r="G61" s="191"/>
      <c r="H61" s="191">
        <f t="shared" si="67"/>
        <v>0.84000000000000008</v>
      </c>
      <c r="I61" s="472">
        <f t="shared" si="68"/>
        <v>15</v>
      </c>
      <c r="J61" s="152">
        <f t="shared" si="69"/>
        <v>15.32</v>
      </c>
      <c r="K61" s="386">
        <f t="shared" si="70"/>
        <v>30.32</v>
      </c>
      <c r="L61" s="386"/>
      <c r="M61" s="191">
        <f t="shared" si="71"/>
        <v>0.50527704485488123</v>
      </c>
      <c r="N61" s="152">
        <f t="shared" si="72"/>
        <v>2.5579650395778364</v>
      </c>
      <c r="O61" s="152">
        <f t="shared" si="53"/>
        <v>0.84000000000000008</v>
      </c>
      <c r="P61" s="191">
        <f t="shared" si="73"/>
        <v>0.17053100263852242</v>
      </c>
      <c r="Q61" s="191">
        <f t="shared" si="74"/>
        <v>15</v>
      </c>
      <c r="R61" s="191">
        <f t="shared" si="75"/>
        <v>0.18947889182058048</v>
      </c>
      <c r="S61" s="152">
        <f t="shared" si="76"/>
        <v>75.46512268373327</v>
      </c>
      <c r="T61" s="152">
        <f t="shared" si="77"/>
        <v>15</v>
      </c>
      <c r="U61" s="191">
        <f t="shared" si="78"/>
        <v>0.24628952712503632</v>
      </c>
      <c r="V61" s="191">
        <f t="shared" si="79"/>
        <v>0.77170718499178048</v>
      </c>
      <c r="W61" s="191">
        <f t="shared" si="80"/>
        <v>0.75558797486140383</v>
      </c>
      <c r="X61" s="175">
        <f t="shared" si="81"/>
        <v>350</v>
      </c>
      <c r="Y61" s="386">
        <f t="shared" si="54"/>
        <v>350</v>
      </c>
      <c r="AA61" s="191">
        <f t="shared" si="82"/>
        <v>0.46073894667618365</v>
      </c>
      <c r="AB61" s="153">
        <f t="shared" si="83"/>
        <v>1.4134941575574826</v>
      </c>
      <c r="AC61" s="153">
        <f t="shared" si="84"/>
        <v>0.11396906662504547</v>
      </c>
      <c r="AD61" s="153"/>
      <c r="AE61" s="153">
        <f t="shared" si="85"/>
        <v>0.46018276762402083</v>
      </c>
      <c r="AF61" s="317">
        <f t="shared" si="86"/>
        <v>1622.543735224587</v>
      </c>
      <c r="AG61" s="463">
        <f t="shared" si="87"/>
        <v>1.2079797650130546E-2</v>
      </c>
      <c r="AI61" s="153">
        <f t="shared" si="88"/>
        <v>0.34043498804833566</v>
      </c>
      <c r="AJ61" s="153">
        <f t="shared" si="89"/>
        <v>0.34043498804833566</v>
      </c>
      <c r="AK61" s="153">
        <f t="shared" si="90"/>
        <v>1.3269566586988903</v>
      </c>
      <c r="AM61" s="317">
        <f t="shared" si="91"/>
        <v>56.000000000000007</v>
      </c>
      <c r="AN61" s="147">
        <f t="shared" si="92"/>
        <v>350</v>
      </c>
      <c r="AP61">
        <f t="shared" si="93"/>
        <v>56.000000000000007</v>
      </c>
      <c r="AQ61">
        <f t="shared" si="94"/>
        <v>350</v>
      </c>
      <c r="AS61" s="5">
        <f t="shared" si="55"/>
        <v>2.8571428571428572</v>
      </c>
      <c r="AT61" s="5">
        <f t="shared" si="95"/>
        <v>1.066696295884785</v>
      </c>
      <c r="AU61" s="5">
        <f t="shared" si="56"/>
        <v>1.7904465612580722</v>
      </c>
      <c r="AV61" s="5">
        <f t="shared" si="96"/>
        <v>1.044415433307557</v>
      </c>
      <c r="AW61" s="153">
        <f t="shared" si="57"/>
        <v>0.37334370355967472</v>
      </c>
      <c r="AX61" s="153">
        <f t="shared" si="97"/>
        <v>0.95324444444444434</v>
      </c>
      <c r="AY61" s="153">
        <f t="shared" si="98"/>
        <v>0.10666786439453821</v>
      </c>
      <c r="AZ61" s="153">
        <f t="shared" si="58"/>
        <v>8.9365663206551833</v>
      </c>
      <c r="BA61" s="147">
        <f t="shared" si="99"/>
        <v>3.3279803794703455</v>
      </c>
      <c r="BB61" s="147">
        <f t="shared" si="100"/>
        <v>4.7164289031585174</v>
      </c>
      <c r="BC61" s="5">
        <f t="shared" si="101"/>
        <v>0.14854075174881784</v>
      </c>
      <c r="BD61" s="147">
        <f t="shared" si="102"/>
        <v>11.327223047828005</v>
      </c>
      <c r="BE61" s="5"/>
      <c r="BF61" s="153">
        <f t="shared" si="59"/>
        <v>0.12009584340139647</v>
      </c>
      <c r="BG61" s="153">
        <f t="shared" si="103"/>
        <v>0.15559235872474822</v>
      </c>
      <c r="BH61" s="153"/>
      <c r="BI61" s="463">
        <f t="shared" si="104"/>
        <v>5.04805406080246E-3</v>
      </c>
      <c r="BJ61" s="463">
        <f t="shared" si="105"/>
        <v>1.8063480465844689E-2</v>
      </c>
      <c r="BK61" s="463">
        <f t="shared" si="106"/>
        <v>4.3749999999999995E-3</v>
      </c>
      <c r="BL61" s="463">
        <f t="shared" si="107"/>
        <v>1.6087792E-2</v>
      </c>
      <c r="BM61">
        <f t="shared" si="108"/>
        <v>4.3499999999999997E-3</v>
      </c>
      <c r="BN61">
        <f t="shared" si="109"/>
        <v>8.7499999999999992E-6</v>
      </c>
      <c r="BO61" s="463">
        <f t="shared" si="110"/>
        <v>4.8659883985108614E-2</v>
      </c>
      <c r="BP61" s="147">
        <f t="shared" si="60"/>
        <v>48.659883985108614</v>
      </c>
      <c r="BQ61" s="463">
        <f t="shared" si="111"/>
        <v>3.9887662319457486E-2</v>
      </c>
      <c r="BR61" s="463"/>
      <c r="BT61" s="147">
        <f t="shared" si="61"/>
        <v>39.887662319457483</v>
      </c>
      <c r="BU61" s="463">
        <f t="shared" si="112"/>
        <v>1.4423011602292743E-2</v>
      </c>
      <c r="BV61" s="463">
        <f t="shared" si="113"/>
        <v>2.4208982093530732E-2</v>
      </c>
      <c r="BW61" s="463">
        <f t="shared" si="114"/>
        <v>0</v>
      </c>
      <c r="BX61" s="463">
        <f t="shared" si="115"/>
        <v>4.340196930769679E-2</v>
      </c>
      <c r="BY61" s="463">
        <f t="shared" si="116"/>
        <v>2.028179669030733E-2</v>
      </c>
      <c r="BZ61" s="147">
        <f t="shared" si="62"/>
        <v>63.683765998004127</v>
      </c>
      <c r="CA61" s="153">
        <f t="shared" si="63"/>
        <v>0.15223131230257023</v>
      </c>
      <c r="CB61" s="5">
        <f t="shared" si="64"/>
        <v>0.84000000000000008</v>
      </c>
      <c r="CC61" s="153">
        <f t="shared" si="65"/>
        <v>0.84657679069883163</v>
      </c>
      <c r="CD61" s="5">
        <f t="shared" si="66"/>
        <v>84.657679069883159</v>
      </c>
      <c r="CG61" s="59">
        <f t="shared" si="117"/>
        <v>-50</v>
      </c>
      <c r="CH61">
        <f t="shared" si="118"/>
        <v>-50</v>
      </c>
    </row>
    <row r="62" spans="5:86" x14ac:dyDescent="0.25">
      <c r="E62" s="150">
        <v>57</v>
      </c>
      <c r="F62" s="191">
        <f t="shared" si="119"/>
        <v>5.6999999999999995E-2</v>
      </c>
      <c r="G62" s="191"/>
      <c r="H62" s="191">
        <f t="shared" si="67"/>
        <v>0.85499999999999998</v>
      </c>
      <c r="I62" s="472">
        <f t="shared" si="68"/>
        <v>15</v>
      </c>
      <c r="J62" s="152">
        <f t="shared" si="69"/>
        <v>15.32</v>
      </c>
      <c r="K62" s="386">
        <f t="shared" si="70"/>
        <v>30.32</v>
      </c>
      <c r="L62" s="386"/>
      <c r="M62" s="191">
        <f t="shared" si="71"/>
        <v>0.50527704485488123</v>
      </c>
      <c r="N62" s="152">
        <f t="shared" si="72"/>
        <v>2.5579650395778364</v>
      </c>
      <c r="O62" s="152">
        <f t="shared" si="53"/>
        <v>0.85499999999999998</v>
      </c>
      <c r="P62" s="191">
        <f t="shared" si="73"/>
        <v>0.17053100263852242</v>
      </c>
      <c r="Q62" s="191">
        <f t="shared" si="74"/>
        <v>15</v>
      </c>
      <c r="R62" s="191">
        <f t="shared" si="75"/>
        <v>0.18947889182058048</v>
      </c>
      <c r="S62" s="152">
        <f t="shared" si="76"/>
        <v>73.880479082960633</v>
      </c>
      <c r="T62" s="152">
        <f t="shared" si="77"/>
        <v>15</v>
      </c>
      <c r="U62" s="191">
        <f t="shared" si="78"/>
        <v>0.25068755439512619</v>
      </c>
      <c r="V62" s="191">
        <f t="shared" si="79"/>
        <v>0.785487670438062</v>
      </c>
      <c r="W62" s="191">
        <f t="shared" si="80"/>
        <v>0.76908061726964294</v>
      </c>
      <c r="X62" s="175">
        <f t="shared" si="81"/>
        <v>350</v>
      </c>
      <c r="Y62" s="386">
        <f t="shared" si="54"/>
        <v>350</v>
      </c>
      <c r="AA62" s="191">
        <f t="shared" si="82"/>
        <v>0.46073894667618365</v>
      </c>
      <c r="AB62" s="153">
        <f t="shared" si="83"/>
        <v>1.4134941575574826</v>
      </c>
      <c r="AC62" s="153">
        <f t="shared" si="84"/>
        <v>0.11396906662504547</v>
      </c>
      <c r="AD62" s="153"/>
      <c r="AE62" s="153">
        <f t="shared" si="85"/>
        <v>0.46018276762402083</v>
      </c>
      <c r="AF62" s="317">
        <f t="shared" si="86"/>
        <v>1651.5177304964541</v>
      </c>
      <c r="AG62" s="463">
        <f t="shared" si="87"/>
        <v>1.2079797650130546E-2</v>
      </c>
      <c r="AI62" s="153">
        <f t="shared" si="88"/>
        <v>0.34346113634342695</v>
      </c>
      <c r="AJ62" s="153">
        <f t="shared" si="89"/>
        <v>0.34346113634342695</v>
      </c>
      <c r="AK62" s="153">
        <f t="shared" si="90"/>
        <v>1.328974090895618</v>
      </c>
      <c r="AM62" s="317">
        <f t="shared" si="91"/>
        <v>56.999999999999993</v>
      </c>
      <c r="AN62" s="147">
        <f t="shared" si="92"/>
        <v>350</v>
      </c>
      <c r="AP62">
        <f t="shared" si="93"/>
        <v>56.999999999999993</v>
      </c>
      <c r="AQ62">
        <f t="shared" si="94"/>
        <v>350</v>
      </c>
      <c r="AS62" s="5">
        <f t="shared" si="55"/>
        <v>2.8571428571428572</v>
      </c>
      <c r="AT62" s="5">
        <f t="shared" si="95"/>
        <v>1.0761782272094045</v>
      </c>
      <c r="AU62" s="5">
        <f t="shared" si="56"/>
        <v>1.7809646299334527</v>
      </c>
      <c r="AV62" s="5">
        <f t="shared" si="96"/>
        <v>1.0536993086253961</v>
      </c>
      <c r="AW62" s="153">
        <f t="shared" si="57"/>
        <v>0.37666237952329157</v>
      </c>
      <c r="AX62" s="153">
        <f t="shared" si="97"/>
        <v>0.9702666666666665</v>
      </c>
      <c r="AY62" s="153">
        <f t="shared" si="98"/>
        <v>0.10704612372726904</v>
      </c>
      <c r="AZ62" s="153">
        <f t="shared" si="58"/>
        <v>9.0640056162958444</v>
      </c>
      <c r="BA62" s="147">
        <f t="shared" si="99"/>
        <v>3.3279803794703455</v>
      </c>
      <c r="BB62" s="147">
        <f t="shared" si="100"/>
        <v>4.883323184426664</v>
      </c>
      <c r="BC62" s="5">
        <f t="shared" si="101"/>
        <v>0.15039256874993598</v>
      </c>
      <c r="BD62" s="147">
        <f t="shared" si="102"/>
        <v>11.469442656245201</v>
      </c>
      <c r="BE62" s="5"/>
      <c r="BF62" s="153">
        <f t="shared" si="59"/>
        <v>0.12170070608568698</v>
      </c>
      <c r="BG62" s="153">
        <f t="shared" si="103"/>
        <v>0.15655921839467413</v>
      </c>
      <c r="BH62" s="153"/>
      <c r="BI62" s="463">
        <f t="shared" si="104"/>
        <v>5.1838716516141685E-3</v>
      </c>
      <c r="BJ62" s="463">
        <f t="shared" si="105"/>
        <v>1.8224047894382235E-2</v>
      </c>
      <c r="BK62" s="463">
        <f t="shared" si="106"/>
        <v>4.3749999999999995E-3</v>
      </c>
      <c r="BL62" s="463">
        <f t="shared" si="107"/>
        <v>1.6087792E-2</v>
      </c>
      <c r="BM62">
        <f t="shared" si="108"/>
        <v>4.3499999999999997E-3</v>
      </c>
      <c r="BN62">
        <f t="shared" si="109"/>
        <v>8.7499999999999992E-6</v>
      </c>
      <c r="BO62" s="463">
        <f t="shared" si="110"/>
        <v>4.8976126177125927E-2</v>
      </c>
      <c r="BP62" s="147">
        <f t="shared" si="60"/>
        <v>48.976126177125927</v>
      </c>
      <c r="BQ62" s="463">
        <f t="shared" si="111"/>
        <v>4.0500242692364373E-2</v>
      </c>
      <c r="BR62" s="463"/>
      <c r="BT62" s="147">
        <f t="shared" si="61"/>
        <v>40.500242692364374</v>
      </c>
      <c r="BU62" s="463">
        <f t="shared" si="112"/>
        <v>1.4811061861754767E-2</v>
      </c>
      <c r="BV62" s="463">
        <f t="shared" si="113"/>
        <v>2.451078886435127E-2</v>
      </c>
      <c r="BW62" s="463">
        <f t="shared" si="114"/>
        <v>0</v>
      </c>
      <c r="BX62" s="463">
        <f t="shared" si="115"/>
        <v>4.4179450233016698E-2</v>
      </c>
      <c r="BY62" s="463">
        <f t="shared" si="116"/>
        <v>2.0643971631205675E-2</v>
      </c>
      <c r="BZ62" s="147">
        <f t="shared" si="62"/>
        <v>64.823421864222382</v>
      </c>
      <c r="CA62" s="153">
        <f t="shared" si="63"/>
        <v>0.15429979073371269</v>
      </c>
      <c r="CB62" s="5">
        <f t="shared" si="64"/>
        <v>0.85499999999999998</v>
      </c>
      <c r="CC62" s="153">
        <f t="shared" si="65"/>
        <v>0.84712194320228273</v>
      </c>
      <c r="CD62" s="5">
        <f t="shared" si="66"/>
        <v>84.712194320228278</v>
      </c>
      <c r="CG62" s="59">
        <f t="shared" si="117"/>
        <v>-50</v>
      </c>
      <c r="CH62">
        <f t="shared" si="118"/>
        <v>-50</v>
      </c>
    </row>
    <row r="63" spans="5:86" x14ac:dyDescent="0.25">
      <c r="E63" s="150">
        <v>58</v>
      </c>
      <c r="F63" s="191">
        <f t="shared" si="119"/>
        <v>5.7999999999999996E-2</v>
      </c>
      <c r="G63" s="191"/>
      <c r="H63" s="191">
        <f t="shared" si="67"/>
        <v>0.86999999999999988</v>
      </c>
      <c r="I63" s="472">
        <f t="shared" si="68"/>
        <v>15</v>
      </c>
      <c r="J63" s="152">
        <f t="shared" si="69"/>
        <v>15.32</v>
      </c>
      <c r="K63" s="386">
        <f t="shared" si="70"/>
        <v>30.32</v>
      </c>
      <c r="L63" s="386"/>
      <c r="M63" s="191">
        <f t="shared" si="71"/>
        <v>0.50527704485488123</v>
      </c>
      <c r="N63" s="152">
        <f t="shared" si="72"/>
        <v>2.5579650395778364</v>
      </c>
      <c r="O63" s="152">
        <f t="shared" si="53"/>
        <v>0.86999999999999988</v>
      </c>
      <c r="P63" s="191">
        <f t="shared" si="73"/>
        <v>0.17053100263852242</v>
      </c>
      <c r="Q63" s="191">
        <f t="shared" si="74"/>
        <v>15</v>
      </c>
      <c r="R63" s="191">
        <f t="shared" si="75"/>
        <v>0.18947889182058048</v>
      </c>
      <c r="S63" s="152">
        <f t="shared" si="76"/>
        <v>72.350534288955032</v>
      </c>
      <c r="T63" s="152">
        <f t="shared" si="77"/>
        <v>15</v>
      </c>
      <c r="U63" s="191">
        <f t="shared" si="78"/>
        <v>0.25508558166521611</v>
      </c>
      <c r="V63" s="191">
        <f t="shared" si="79"/>
        <v>0.79926815588434386</v>
      </c>
      <c r="W63" s="191">
        <f t="shared" si="80"/>
        <v>0.78257325967788227</v>
      </c>
      <c r="X63" s="175">
        <f t="shared" si="81"/>
        <v>350</v>
      </c>
      <c r="Y63" s="386">
        <f t="shared" si="54"/>
        <v>350</v>
      </c>
      <c r="AA63" s="191">
        <f t="shared" si="82"/>
        <v>0.46073894667618365</v>
      </c>
      <c r="AB63" s="153">
        <f t="shared" si="83"/>
        <v>1.4134941575574826</v>
      </c>
      <c r="AC63" s="153">
        <f t="shared" si="84"/>
        <v>0.11396906662504547</v>
      </c>
      <c r="AD63" s="153"/>
      <c r="AE63" s="153">
        <f t="shared" si="85"/>
        <v>0.46018276762402083</v>
      </c>
      <c r="AF63" s="317">
        <f t="shared" si="86"/>
        <v>1680.4917257683219</v>
      </c>
      <c r="AG63" s="463">
        <f t="shared" si="87"/>
        <v>1.2079797650130546E-2</v>
      </c>
      <c r="AI63" s="153">
        <f t="shared" si="88"/>
        <v>0.34646085387697961</v>
      </c>
      <c r="AJ63" s="153">
        <f t="shared" si="89"/>
        <v>0.34646085387697961</v>
      </c>
      <c r="AK63" s="153">
        <f t="shared" si="90"/>
        <v>1.330973902584653</v>
      </c>
      <c r="AM63" s="317">
        <f t="shared" si="91"/>
        <v>57.999999999999993</v>
      </c>
      <c r="AN63" s="147">
        <f t="shared" si="92"/>
        <v>350</v>
      </c>
      <c r="AP63">
        <f t="shared" si="93"/>
        <v>57.999999999999993</v>
      </c>
      <c r="AQ63">
        <f t="shared" si="94"/>
        <v>350</v>
      </c>
      <c r="AS63" s="5">
        <f t="shared" si="55"/>
        <v>2.8571428571428572</v>
      </c>
      <c r="AT63" s="5">
        <f t="shared" si="95"/>
        <v>1.0855773421478694</v>
      </c>
      <c r="AU63" s="5">
        <f t="shared" si="56"/>
        <v>1.7715655149949878</v>
      </c>
      <c r="AV63" s="5">
        <f t="shared" si="96"/>
        <v>1.0629020974032664</v>
      </c>
      <c r="AW63" s="153">
        <f t="shared" si="57"/>
        <v>0.37995206975175427</v>
      </c>
      <c r="AX63" s="153">
        <f t="shared" si="97"/>
        <v>0.98728888888888888</v>
      </c>
      <c r="AY63" s="153">
        <f t="shared" si="98"/>
        <v>0.10741116767923056</v>
      </c>
      <c r="AZ63" s="153">
        <f t="shared" si="58"/>
        <v>9.1916782046099552</v>
      </c>
      <c r="BA63" s="147">
        <f t="shared" si="99"/>
        <v>3.3279803794703455</v>
      </c>
      <c r="BB63" s="147">
        <f t="shared" si="100"/>
        <v>5.0531182494340712</v>
      </c>
      <c r="BC63" s="5">
        <f t="shared" si="101"/>
        <v>0.15222340721438413</v>
      </c>
      <c r="BD63" s="147">
        <f t="shared" si="102"/>
        <v>11.61008887441214</v>
      </c>
      <c r="BE63" s="5"/>
      <c r="BF63" s="153">
        <f t="shared" si="59"/>
        <v>0.12329854490764346</v>
      </c>
      <c r="BG63" s="153">
        <f t="shared" si="103"/>
        <v>0.15750929045629797</v>
      </c>
      <c r="BH63" s="153"/>
      <c r="BI63" s="463">
        <f t="shared" si="104"/>
        <v>5.3208859117197596E-3</v>
      </c>
      <c r="BJ63" s="463">
        <f t="shared" si="105"/>
        <v>1.8383212906712538E-2</v>
      </c>
      <c r="BK63" s="463">
        <f t="shared" si="106"/>
        <v>4.3749999999999995E-3</v>
      </c>
      <c r="BL63" s="463">
        <f t="shared" si="107"/>
        <v>1.6087792E-2</v>
      </c>
      <c r="BM63">
        <f t="shared" si="108"/>
        <v>4.3499999999999997E-3</v>
      </c>
      <c r="BN63">
        <f t="shared" si="109"/>
        <v>8.7499999999999992E-6</v>
      </c>
      <c r="BO63" s="463">
        <f t="shared" si="110"/>
        <v>4.9292350887474426E-2</v>
      </c>
      <c r="BP63" s="147">
        <f t="shared" si="60"/>
        <v>49.292350887474427</v>
      </c>
      <c r="BQ63" s="463">
        <f t="shared" si="111"/>
        <v>4.1110210907155484E-2</v>
      </c>
      <c r="BR63" s="463"/>
      <c r="BT63" s="147">
        <f t="shared" si="61"/>
        <v>41.110210907155484</v>
      </c>
      <c r="BU63" s="463">
        <f t="shared" si="112"/>
        <v>1.520253117634217E-2</v>
      </c>
      <c r="BV63" s="463">
        <f t="shared" si="113"/>
        <v>2.4809176580046437E-2</v>
      </c>
      <c r="BW63" s="463">
        <f t="shared" si="114"/>
        <v>0</v>
      </c>
      <c r="BX63" s="463">
        <f t="shared" si="115"/>
        <v>4.4957017250019785E-2</v>
      </c>
      <c r="BY63" s="463">
        <f t="shared" si="116"/>
        <v>2.100614657210402E-2</v>
      </c>
      <c r="BZ63" s="147">
        <f t="shared" si="62"/>
        <v>65.963163822123803</v>
      </c>
      <c r="CA63" s="153">
        <f t="shared" si="63"/>
        <v>0.15636572561675371</v>
      </c>
      <c r="CB63" s="5">
        <f t="shared" si="64"/>
        <v>0.86999999999999988</v>
      </c>
      <c r="CC63" s="153">
        <f t="shared" si="65"/>
        <v>0.84765106461169881</v>
      </c>
      <c r="CD63" s="5">
        <f t="shared" si="66"/>
        <v>84.765106461169879</v>
      </c>
      <c r="CG63" s="59">
        <f t="shared" si="117"/>
        <v>-50</v>
      </c>
      <c r="CH63">
        <f t="shared" si="118"/>
        <v>-50</v>
      </c>
    </row>
    <row r="64" spans="5:86" x14ac:dyDescent="0.25">
      <c r="E64" s="150">
        <v>59</v>
      </c>
      <c r="F64" s="191">
        <f t="shared" si="119"/>
        <v>5.8999999999999997E-2</v>
      </c>
      <c r="G64" s="191"/>
      <c r="H64" s="191">
        <f t="shared" si="67"/>
        <v>0.88500000000000001</v>
      </c>
      <c r="I64" s="472">
        <f t="shared" si="68"/>
        <v>15</v>
      </c>
      <c r="J64" s="152">
        <f t="shared" si="69"/>
        <v>15.32</v>
      </c>
      <c r="K64" s="386">
        <f t="shared" si="70"/>
        <v>30.32</v>
      </c>
      <c r="L64" s="386"/>
      <c r="M64" s="191">
        <f t="shared" si="71"/>
        <v>0.50527704485488123</v>
      </c>
      <c r="N64" s="152">
        <f t="shared" si="72"/>
        <v>2.5579650395778364</v>
      </c>
      <c r="O64" s="152">
        <f t="shared" si="53"/>
        <v>0.88500000000000001</v>
      </c>
      <c r="P64" s="191">
        <f t="shared" si="73"/>
        <v>0.17053100263852242</v>
      </c>
      <c r="Q64" s="191">
        <f t="shared" si="74"/>
        <v>15</v>
      </c>
      <c r="R64" s="191">
        <f t="shared" si="75"/>
        <v>0.18947889182058048</v>
      </c>
      <c r="S64" s="152">
        <f t="shared" si="76"/>
        <v>70.872507571053831</v>
      </c>
      <c r="T64" s="152">
        <f t="shared" si="77"/>
        <v>15</v>
      </c>
      <c r="U64" s="191">
        <f t="shared" si="78"/>
        <v>0.25948360893530609</v>
      </c>
      <c r="V64" s="191">
        <f t="shared" si="79"/>
        <v>0.81304864133062571</v>
      </c>
      <c r="W64" s="191">
        <f t="shared" si="80"/>
        <v>0.79606590208612182</v>
      </c>
      <c r="X64" s="175">
        <f t="shared" si="81"/>
        <v>350</v>
      </c>
      <c r="Y64" s="386">
        <f t="shared" si="54"/>
        <v>350</v>
      </c>
      <c r="AA64" s="191">
        <f t="shared" si="82"/>
        <v>0.46073894667618365</v>
      </c>
      <c r="AB64" s="153">
        <f t="shared" si="83"/>
        <v>1.4134941575574826</v>
      </c>
      <c r="AC64" s="153">
        <f t="shared" si="84"/>
        <v>0.11396906662504547</v>
      </c>
      <c r="AD64" s="153"/>
      <c r="AE64" s="153">
        <f t="shared" si="85"/>
        <v>0.46018276762402083</v>
      </c>
      <c r="AF64" s="317">
        <f t="shared" si="86"/>
        <v>1709.4657210401895</v>
      </c>
      <c r="AG64" s="463">
        <f t="shared" si="87"/>
        <v>1.2079797650130546E-2</v>
      </c>
      <c r="AI64" s="153">
        <f t="shared" si="88"/>
        <v>0.34943482133298265</v>
      </c>
      <c r="AJ64" s="153">
        <f t="shared" si="89"/>
        <v>0.34943482133298265</v>
      </c>
      <c r="AK64" s="153">
        <f t="shared" si="90"/>
        <v>1.3329565475553218</v>
      </c>
      <c r="AM64" s="317">
        <f t="shared" si="91"/>
        <v>59</v>
      </c>
      <c r="AN64" s="147">
        <f t="shared" si="92"/>
        <v>350</v>
      </c>
      <c r="AP64">
        <f t="shared" si="93"/>
        <v>59</v>
      </c>
      <c r="AQ64">
        <f t="shared" si="94"/>
        <v>350</v>
      </c>
      <c r="AS64" s="5">
        <f t="shared" si="55"/>
        <v>2.8571428571428572</v>
      </c>
      <c r="AT64" s="5">
        <f t="shared" si="95"/>
        <v>1.0948957735100122</v>
      </c>
      <c r="AU64" s="5">
        <f t="shared" si="56"/>
        <v>1.762247083632845</v>
      </c>
      <c r="AV64" s="5">
        <f t="shared" si="96"/>
        <v>1.0720258879014481</v>
      </c>
      <c r="AW64" s="153">
        <f t="shared" si="57"/>
        <v>0.38321352072850429</v>
      </c>
      <c r="AX64" s="153">
        <f t="shared" si="97"/>
        <v>1.0043111111111112</v>
      </c>
      <c r="AY64" s="153">
        <f t="shared" si="98"/>
        <v>0.10776333659241724</v>
      </c>
      <c r="AZ64" s="153">
        <f t="shared" si="58"/>
        <v>9.3195992521057427</v>
      </c>
      <c r="BA64" s="147">
        <f t="shared" si="99"/>
        <v>3.3279803794703455</v>
      </c>
      <c r="BB64" s="147">
        <f t="shared" si="100"/>
        <v>5.2258140981807379</v>
      </c>
      <c r="BC64" s="5">
        <f t="shared" si="101"/>
        <v>0.1540334487916116</v>
      </c>
      <c r="BD64" s="147">
        <f t="shared" si="102"/>
        <v>11.749175326037539</v>
      </c>
      <c r="BE64" s="5"/>
      <c r="BF64" s="153">
        <f t="shared" si="59"/>
        <v>0.1248895109329025</v>
      </c>
      <c r="BG64" s="153">
        <f t="shared" si="103"/>
        <v>0.15844297032563986</v>
      </c>
      <c r="BH64" s="153"/>
      <c r="BI64" s="463">
        <f t="shared" si="104"/>
        <v>5.4590864793708505E-3</v>
      </c>
      <c r="BJ64" s="463">
        <f t="shared" si="105"/>
        <v>1.854101161992806E-2</v>
      </c>
      <c r="BK64" s="463">
        <f t="shared" si="106"/>
        <v>4.3749999999999995E-3</v>
      </c>
      <c r="BL64" s="463">
        <f t="shared" si="107"/>
        <v>1.6087792E-2</v>
      </c>
      <c r="BM64">
        <f t="shared" si="108"/>
        <v>4.3499999999999997E-3</v>
      </c>
      <c r="BN64">
        <f t="shared" si="109"/>
        <v>8.7499999999999992E-6</v>
      </c>
      <c r="BO64" s="463">
        <f t="shared" si="110"/>
        <v>4.9608582610621899E-2</v>
      </c>
      <c r="BP64" s="147">
        <f t="shared" si="60"/>
        <v>49.608582610621902</v>
      </c>
      <c r="BQ64" s="463">
        <f t="shared" si="111"/>
        <v>4.1717589582047257E-2</v>
      </c>
      <c r="BR64" s="463"/>
      <c r="BT64" s="147">
        <f t="shared" si="61"/>
        <v>41.71758958204726</v>
      </c>
      <c r="BU64" s="463">
        <f t="shared" si="112"/>
        <v>1.5597389941059574E-2</v>
      </c>
      <c r="BV64" s="463">
        <f t="shared" si="113"/>
        <v>2.5104174845611595E-2</v>
      </c>
      <c r="BW64" s="463">
        <f t="shared" si="114"/>
        <v>0</v>
      </c>
      <c r="BX64" s="463">
        <f t="shared" si="115"/>
        <v>4.5734670373006429E-2</v>
      </c>
      <c r="BY64" s="463">
        <f t="shared" si="116"/>
        <v>2.1368321513002369E-2</v>
      </c>
      <c r="BZ64" s="147">
        <f t="shared" si="62"/>
        <v>67.102991886008795</v>
      </c>
      <c r="CA64" s="153">
        <f t="shared" si="63"/>
        <v>0.15842916407867794</v>
      </c>
      <c r="CB64" s="5">
        <f t="shared" si="64"/>
        <v>0.88500000000000001</v>
      </c>
      <c r="CC64" s="153">
        <f t="shared" si="65"/>
        <v>0.84816490708445269</v>
      </c>
      <c r="CD64" s="5">
        <f t="shared" si="66"/>
        <v>84.816490708445272</v>
      </c>
      <c r="CG64" s="59">
        <f t="shared" si="117"/>
        <v>-50</v>
      </c>
      <c r="CH64">
        <f t="shared" si="118"/>
        <v>-50</v>
      </c>
    </row>
    <row r="65" spans="5:86" x14ac:dyDescent="0.25">
      <c r="E65" s="150">
        <v>60</v>
      </c>
      <c r="F65" s="191">
        <f t="shared" si="119"/>
        <v>0.06</v>
      </c>
      <c r="G65" s="191"/>
      <c r="H65" s="191">
        <f t="shared" si="67"/>
        <v>0.89999999999999991</v>
      </c>
      <c r="I65" s="472">
        <f t="shared" si="68"/>
        <v>15</v>
      </c>
      <c r="J65" s="152">
        <f t="shared" si="69"/>
        <v>15.32</v>
      </c>
      <c r="K65" s="386">
        <f t="shared" si="70"/>
        <v>30.32</v>
      </c>
      <c r="L65" s="386"/>
      <c r="M65" s="191">
        <f t="shared" si="71"/>
        <v>0.50527704485488123</v>
      </c>
      <c r="N65" s="152">
        <f t="shared" si="72"/>
        <v>2.5579650395778364</v>
      </c>
      <c r="O65" s="152">
        <f t="shared" si="53"/>
        <v>0.89999999999999991</v>
      </c>
      <c r="P65" s="191">
        <f t="shared" si="73"/>
        <v>0.17053100263852242</v>
      </c>
      <c r="Q65" s="191">
        <f t="shared" si="74"/>
        <v>15</v>
      </c>
      <c r="R65" s="191">
        <f t="shared" si="75"/>
        <v>0.18947889182058048</v>
      </c>
      <c r="S65" s="152">
        <f t="shared" si="76"/>
        <v>69.443803588008862</v>
      </c>
      <c r="T65" s="152">
        <f t="shared" si="77"/>
        <v>15</v>
      </c>
      <c r="U65" s="191">
        <f t="shared" si="78"/>
        <v>0.26388163620539601</v>
      </c>
      <c r="V65" s="191">
        <f t="shared" si="79"/>
        <v>0.82682912677690745</v>
      </c>
      <c r="W65" s="191">
        <f t="shared" si="80"/>
        <v>0.80955854449436104</v>
      </c>
      <c r="X65" s="175">
        <f t="shared" si="81"/>
        <v>350</v>
      </c>
      <c r="Y65" s="386">
        <f t="shared" si="54"/>
        <v>350</v>
      </c>
      <c r="AA65" s="191">
        <f t="shared" si="82"/>
        <v>0.46073894667618365</v>
      </c>
      <c r="AB65" s="153">
        <f t="shared" si="83"/>
        <v>1.4134941575574826</v>
      </c>
      <c r="AC65" s="153">
        <f t="shared" si="84"/>
        <v>0.11396906662504547</v>
      </c>
      <c r="AD65" s="153"/>
      <c r="AE65" s="153">
        <f t="shared" si="85"/>
        <v>0.46018276762402083</v>
      </c>
      <c r="AF65" s="317">
        <f t="shared" si="86"/>
        <v>1738.439716312057</v>
      </c>
      <c r="AG65" s="463">
        <f t="shared" si="87"/>
        <v>1.2079797650130546E-2</v>
      </c>
      <c r="AI65" s="153">
        <f t="shared" si="88"/>
        <v>0.35238369067092362</v>
      </c>
      <c r="AJ65" s="153">
        <f t="shared" si="89"/>
        <v>0.35238369067092362</v>
      </c>
      <c r="AK65" s="153">
        <f t="shared" si="90"/>
        <v>1.3349224604472825</v>
      </c>
      <c r="AM65" s="317">
        <f t="shared" si="91"/>
        <v>60</v>
      </c>
      <c r="AN65" s="147">
        <f t="shared" si="92"/>
        <v>350</v>
      </c>
      <c r="AP65">
        <f t="shared" si="93"/>
        <v>60</v>
      </c>
      <c r="AQ65">
        <f t="shared" si="94"/>
        <v>350</v>
      </c>
      <c r="AS65" s="5">
        <f t="shared" si="55"/>
        <v>2.8571428571428572</v>
      </c>
      <c r="AT65" s="5">
        <f t="shared" si="95"/>
        <v>1.104135564102227</v>
      </c>
      <c r="AU65" s="5">
        <f t="shared" si="56"/>
        <v>1.7530072930406302</v>
      </c>
      <c r="AV65" s="5">
        <f t="shared" si="96"/>
        <v>1.0810726802567499</v>
      </c>
      <c r="AW65" s="153">
        <f t="shared" si="57"/>
        <v>0.38644744743577947</v>
      </c>
      <c r="AX65" s="153">
        <f t="shared" si="97"/>
        <v>1.0213333333333332</v>
      </c>
      <c r="AY65" s="153">
        <f t="shared" si="98"/>
        <v>0.10810295644657293</v>
      </c>
      <c r="AZ65" s="153">
        <f t="shared" si="58"/>
        <v>9.4477835473269458</v>
      </c>
      <c r="BA65" s="147">
        <f t="shared" si="99"/>
        <v>3.3279803794703455</v>
      </c>
      <c r="BB65" s="147">
        <f t="shared" si="100"/>
        <v>5.4014107306666643</v>
      </c>
      <c r="BC65" s="5">
        <f t="shared" si="101"/>
        <v>0.15582287049250046</v>
      </c>
      <c r="BD65" s="147">
        <f t="shared" si="102"/>
        <v>11.886715286937534</v>
      </c>
      <c r="BE65" s="5"/>
      <c r="BF65" s="153">
        <f t="shared" si="59"/>
        <v>0.12647374947750781</v>
      </c>
      <c r="BG65" s="153">
        <f t="shared" si="103"/>
        <v>0.15936063663920999</v>
      </c>
      <c r="BH65" s="153"/>
      <c r="BI65" s="463">
        <f t="shared" si="104"/>
        <v>5.5984632574147914E-3</v>
      </c>
      <c r="BJ65" s="463">
        <f t="shared" si="105"/>
        <v>1.869747862699921E-2</v>
      </c>
      <c r="BK65" s="463">
        <f t="shared" si="106"/>
        <v>4.3749999999999995E-3</v>
      </c>
      <c r="BL65" s="463">
        <f t="shared" si="107"/>
        <v>1.6087792E-2</v>
      </c>
      <c r="BM65">
        <f t="shared" si="108"/>
        <v>4.3499999999999997E-3</v>
      </c>
      <c r="BN65">
        <f t="shared" si="109"/>
        <v>8.7499999999999992E-6</v>
      </c>
      <c r="BO65" s="463">
        <f t="shared" si="110"/>
        <v>4.9924844618483198E-2</v>
      </c>
      <c r="BP65" s="147">
        <f t="shared" si="60"/>
        <v>49.924844618483199</v>
      </c>
      <c r="BQ65" s="463">
        <f t="shared" si="111"/>
        <v>4.2322400757681504E-2</v>
      </c>
      <c r="BR65" s="463"/>
      <c r="BT65" s="147">
        <f t="shared" si="61"/>
        <v>42.322400757681507</v>
      </c>
      <c r="BU65" s="463">
        <f t="shared" si="112"/>
        <v>1.5995609306899406E-2</v>
      </c>
      <c r="BV65" s="463">
        <f t="shared" si="113"/>
        <v>2.5395812510054318E-2</v>
      </c>
      <c r="BW65" s="463">
        <f t="shared" si="114"/>
        <v>0</v>
      </c>
      <c r="BX65" s="463">
        <f t="shared" si="115"/>
        <v>4.6512409616280205E-2</v>
      </c>
      <c r="BY65" s="463">
        <f t="shared" si="116"/>
        <v>2.1730496453900711E-2</v>
      </c>
      <c r="BZ65" s="147">
        <f t="shared" si="62"/>
        <v>68.242906070180908</v>
      </c>
      <c r="CA65" s="153">
        <f t="shared" si="63"/>
        <v>0.16049015144634562</v>
      </c>
      <c r="CB65" s="5">
        <f t="shared" si="64"/>
        <v>0.89999999999999991</v>
      </c>
      <c r="CC65" s="153">
        <f t="shared" si="65"/>
        <v>0.84866417549709272</v>
      </c>
      <c r="CD65" s="5">
        <f t="shared" si="66"/>
        <v>84.866417549709269</v>
      </c>
      <c r="CG65" s="59">
        <f t="shared" si="117"/>
        <v>-50</v>
      </c>
      <c r="CH65">
        <f t="shared" si="118"/>
        <v>-50</v>
      </c>
    </row>
    <row r="66" spans="5:86" x14ac:dyDescent="0.25">
      <c r="E66" s="150">
        <v>61</v>
      </c>
      <c r="F66" s="191">
        <f t="shared" si="119"/>
        <v>6.0999999999999999E-2</v>
      </c>
      <c r="G66" s="191"/>
      <c r="H66" s="191">
        <f t="shared" si="67"/>
        <v>0.91500000000000004</v>
      </c>
      <c r="I66" s="472">
        <f t="shared" si="68"/>
        <v>15</v>
      </c>
      <c r="J66" s="152">
        <f t="shared" si="69"/>
        <v>15.32</v>
      </c>
      <c r="K66" s="386">
        <f t="shared" si="70"/>
        <v>30.32</v>
      </c>
      <c r="L66" s="386"/>
      <c r="M66" s="191">
        <f t="shared" si="71"/>
        <v>0.50527704485488123</v>
      </c>
      <c r="N66" s="152">
        <f t="shared" si="72"/>
        <v>2.5579650395778364</v>
      </c>
      <c r="O66" s="152">
        <f t="shared" si="53"/>
        <v>0.91500000000000004</v>
      </c>
      <c r="P66" s="191">
        <f t="shared" si="73"/>
        <v>0.17053100263852242</v>
      </c>
      <c r="Q66" s="191">
        <f t="shared" si="74"/>
        <v>15</v>
      </c>
      <c r="R66" s="191">
        <f t="shared" si="75"/>
        <v>0.18947889182058048</v>
      </c>
      <c r="S66" s="152">
        <f t="shared" si="76"/>
        <v>68.061997192248924</v>
      </c>
      <c r="T66" s="152">
        <f t="shared" si="77"/>
        <v>15</v>
      </c>
      <c r="U66" s="191">
        <f t="shared" si="78"/>
        <v>0.26827966347548599</v>
      </c>
      <c r="V66" s="191">
        <f t="shared" si="79"/>
        <v>0.84060961222318931</v>
      </c>
      <c r="W66" s="191">
        <f t="shared" si="80"/>
        <v>0.82305118690260048</v>
      </c>
      <c r="X66" s="175">
        <f t="shared" si="81"/>
        <v>350</v>
      </c>
      <c r="Y66" s="386">
        <f t="shared" si="54"/>
        <v>350</v>
      </c>
      <c r="AA66" s="191">
        <f t="shared" si="82"/>
        <v>0.46073894667618365</v>
      </c>
      <c r="AB66" s="153">
        <f t="shared" si="83"/>
        <v>1.4134941575574826</v>
      </c>
      <c r="AC66" s="153">
        <f t="shared" si="84"/>
        <v>0.11396906662504547</v>
      </c>
      <c r="AD66" s="153"/>
      <c r="AE66" s="153">
        <f t="shared" si="85"/>
        <v>0.46018276762402083</v>
      </c>
      <c r="AF66" s="317">
        <f t="shared" si="86"/>
        <v>1767.4137115839246</v>
      </c>
      <c r="AG66" s="463">
        <f t="shared" si="87"/>
        <v>1.2079797650130546E-2</v>
      </c>
      <c r="AI66" s="153">
        <f t="shared" si="88"/>
        <v>0.35530808679469833</v>
      </c>
      <c r="AJ66" s="153">
        <f t="shared" si="89"/>
        <v>0.35530808679469833</v>
      </c>
      <c r="AK66" s="153">
        <f t="shared" si="90"/>
        <v>1.3368720578631321</v>
      </c>
      <c r="AM66" s="317">
        <f t="shared" si="91"/>
        <v>61</v>
      </c>
      <c r="AN66" s="147">
        <f t="shared" si="92"/>
        <v>350</v>
      </c>
      <c r="AP66">
        <f t="shared" si="93"/>
        <v>61</v>
      </c>
      <c r="AQ66">
        <f t="shared" si="94"/>
        <v>350</v>
      </c>
      <c r="AS66" s="5">
        <f t="shared" si="55"/>
        <v>2.8571428571428572</v>
      </c>
      <c r="AT66" s="5">
        <f t="shared" si="95"/>
        <v>1.1132986719567213</v>
      </c>
      <c r="AU66" s="5">
        <f t="shared" si="56"/>
        <v>1.7438441851861359</v>
      </c>
      <c r="AV66" s="5">
        <f t="shared" si="96"/>
        <v>1.0900443916025337</v>
      </c>
      <c r="AW66" s="153">
        <f t="shared" si="57"/>
        <v>0.38965453518485244</v>
      </c>
      <c r="AX66" s="153">
        <f t="shared" si="97"/>
        <v>1.0383555555555555</v>
      </c>
      <c r="AY66" s="153">
        <f t="shared" si="98"/>
        <v>0.10843033969364549</v>
      </c>
      <c r="AZ66" s="153">
        <f t="shared" si="58"/>
        <v>9.5762455276750167</v>
      </c>
      <c r="BA66" s="147">
        <f t="shared" si="99"/>
        <v>3.3279803794703455</v>
      </c>
      <c r="BB66" s="147">
        <f t="shared" si="100"/>
        <v>5.5799081468918494</v>
      </c>
      <c r="BC66" s="5">
        <f t="shared" si="101"/>
        <v>0.15759184488348782</v>
      </c>
      <c r="BD66" s="147">
        <f t="shared" si="102"/>
        <v>12.022721699594921</v>
      </c>
      <c r="BE66" s="5"/>
      <c r="BF66" s="153">
        <f t="shared" si="59"/>
        <v>0.12805140041875382</v>
      </c>
      <c r="BG66" s="153">
        <f t="shared" si="103"/>
        <v>0.16026265222450387</v>
      </c>
      <c r="BH66" s="153"/>
      <c r="BI66" s="463">
        <f t="shared" si="104"/>
        <v>5.7390064022214086E-3</v>
      </c>
      <c r="BJ66" s="463">
        <f t="shared" si="105"/>
        <v>1.885264708532669E-2</v>
      </c>
      <c r="BK66" s="463">
        <f t="shared" si="106"/>
        <v>4.3749999999999995E-3</v>
      </c>
      <c r="BL66" s="463">
        <f t="shared" si="107"/>
        <v>1.6087792E-2</v>
      </c>
      <c r="BM66">
        <f t="shared" si="108"/>
        <v>4.3499999999999997E-3</v>
      </c>
      <c r="BN66">
        <f t="shared" si="109"/>
        <v>8.7499999999999992E-6</v>
      </c>
      <c r="BO66" s="463">
        <f t="shared" si="110"/>
        <v>5.0241159036353768E-2</v>
      </c>
      <c r="BP66" s="147">
        <f t="shared" si="60"/>
        <v>50.241159036353771</v>
      </c>
      <c r="BQ66" s="463">
        <f t="shared" si="111"/>
        <v>4.2924665921296665E-2</v>
      </c>
      <c r="BR66" s="463"/>
      <c r="BT66" s="147">
        <f t="shared" si="61"/>
        <v>42.924665921296665</v>
      </c>
      <c r="BU66" s="463">
        <f t="shared" si="112"/>
        <v>1.6397161149204025E-2</v>
      </c>
      <c r="BV66" s="463">
        <f t="shared" si="113"/>
        <v>2.5684117698032274E-2</v>
      </c>
      <c r="BW66" s="463">
        <f t="shared" si="114"/>
        <v>0</v>
      </c>
      <c r="BX66" s="463">
        <f t="shared" si="115"/>
        <v>4.7290234994147862E-2</v>
      </c>
      <c r="BY66" s="463">
        <f t="shared" si="116"/>
        <v>2.2092671394799059E-2</v>
      </c>
      <c r="BZ66" s="147">
        <f t="shared" si="62"/>
        <v>69.382906388946921</v>
      </c>
      <c r="CA66" s="153">
        <f t="shared" si="63"/>
        <v>0.16254873134659736</v>
      </c>
      <c r="CB66" s="5">
        <f t="shared" si="64"/>
        <v>0.91500000000000004</v>
      </c>
      <c r="CC66" s="153">
        <f t="shared" si="65"/>
        <v>0.84914953113678437</v>
      </c>
      <c r="CD66" s="5">
        <f t="shared" si="66"/>
        <v>84.914953113678436</v>
      </c>
      <c r="CG66" s="59">
        <f t="shared" si="117"/>
        <v>-50</v>
      </c>
      <c r="CH66">
        <f t="shared" si="118"/>
        <v>-50</v>
      </c>
    </row>
    <row r="67" spans="5:86" x14ac:dyDescent="0.25">
      <c r="E67" s="150">
        <v>62</v>
      </c>
      <c r="F67" s="191">
        <f t="shared" si="119"/>
        <v>6.2E-2</v>
      </c>
      <c r="G67" s="191"/>
      <c r="H67" s="191">
        <f t="shared" si="67"/>
        <v>0.92999999999999994</v>
      </c>
      <c r="I67" s="472">
        <f t="shared" si="68"/>
        <v>15</v>
      </c>
      <c r="J67" s="152">
        <f t="shared" si="69"/>
        <v>15.32</v>
      </c>
      <c r="K67" s="386">
        <f t="shared" si="70"/>
        <v>30.32</v>
      </c>
      <c r="L67" s="386"/>
      <c r="M67" s="191">
        <f t="shared" si="71"/>
        <v>0.50527704485488123</v>
      </c>
      <c r="N67" s="152">
        <f t="shared" si="72"/>
        <v>2.5579650395778364</v>
      </c>
      <c r="O67" s="152">
        <f t="shared" si="53"/>
        <v>0.92999999999999994</v>
      </c>
      <c r="P67" s="191">
        <f t="shared" si="73"/>
        <v>0.17053100263852242</v>
      </c>
      <c r="Q67" s="191">
        <f t="shared" si="74"/>
        <v>15</v>
      </c>
      <c r="R67" s="191">
        <f t="shared" si="75"/>
        <v>0.18947889182058048</v>
      </c>
      <c r="S67" s="152">
        <f t="shared" si="76"/>
        <v>66.724819704699712</v>
      </c>
      <c r="T67" s="152">
        <f t="shared" si="77"/>
        <v>15</v>
      </c>
      <c r="U67" s="191">
        <f t="shared" si="78"/>
        <v>0.27267769074557585</v>
      </c>
      <c r="V67" s="191">
        <f t="shared" si="79"/>
        <v>0.85439009766947094</v>
      </c>
      <c r="W67" s="191">
        <f t="shared" si="80"/>
        <v>0.83654382931083959</v>
      </c>
      <c r="X67" s="175">
        <f t="shared" si="81"/>
        <v>350</v>
      </c>
      <c r="Y67" s="386">
        <f t="shared" si="54"/>
        <v>350</v>
      </c>
      <c r="AA67" s="191">
        <f t="shared" si="82"/>
        <v>0.46073894667618365</v>
      </c>
      <c r="AB67" s="153">
        <f t="shared" si="83"/>
        <v>1.4134941575574826</v>
      </c>
      <c r="AC67" s="153">
        <f t="shared" si="84"/>
        <v>0.11396906662504547</v>
      </c>
      <c r="AD67" s="153"/>
      <c r="AE67" s="153">
        <f t="shared" si="85"/>
        <v>0.46018276762402083</v>
      </c>
      <c r="AF67" s="317">
        <f t="shared" si="86"/>
        <v>1796.3877068557924</v>
      </c>
      <c r="AG67" s="463">
        <f t="shared" si="87"/>
        <v>1.2079797650130546E-2</v>
      </c>
      <c r="AI67" s="153">
        <f t="shared" si="88"/>
        <v>0.35820860909888325</v>
      </c>
      <c r="AJ67" s="153">
        <f t="shared" si="89"/>
        <v>0.35820860909888325</v>
      </c>
      <c r="AK67" s="153">
        <f t="shared" si="90"/>
        <v>1.3388057393992554</v>
      </c>
      <c r="AM67" s="317">
        <f t="shared" si="91"/>
        <v>62</v>
      </c>
      <c r="AN67" s="147">
        <f t="shared" si="92"/>
        <v>350</v>
      </c>
      <c r="AP67">
        <f t="shared" si="93"/>
        <v>62</v>
      </c>
      <c r="AQ67">
        <f t="shared" si="94"/>
        <v>350</v>
      </c>
      <c r="AS67" s="5">
        <f t="shared" si="55"/>
        <v>2.8571428571428572</v>
      </c>
      <c r="AT67" s="5">
        <f t="shared" si="95"/>
        <v>1.1223869751765005</v>
      </c>
      <c r="AU67" s="5">
        <f t="shared" si="56"/>
        <v>1.7347558819663567</v>
      </c>
      <c r="AV67" s="5">
        <f t="shared" si="96"/>
        <v>1.0989428608125007</v>
      </c>
      <c r="AW67" s="153">
        <f t="shared" si="57"/>
        <v>0.39283544131177517</v>
      </c>
      <c r="AX67" s="153">
        <f t="shared" si="97"/>
        <v>1.0553777777777777</v>
      </c>
      <c r="AY67" s="153">
        <f t="shared" si="98"/>
        <v>0.10874578603092314</v>
      </c>
      <c r="AZ67" s="153">
        <f t="shared" si="58"/>
        <v>9.704999304319422</v>
      </c>
      <c r="BA67" s="147">
        <f t="shared" si="99"/>
        <v>3.3279803794703455</v>
      </c>
      <c r="BB67" s="147">
        <f t="shared" si="100"/>
        <v>5.7613063468562933</v>
      </c>
      <c r="BC67" s="5">
        <f t="shared" si="101"/>
        <v>0.15934054026950237</v>
      </c>
      <c r="BD67" s="147">
        <f t="shared" si="102"/>
        <v>12.157207186879345</v>
      </c>
      <c r="BE67" s="5"/>
      <c r="BF67" s="153">
        <f t="shared" si="59"/>
        <v>0.12962259848441174</v>
      </c>
      <c r="BG67" s="153">
        <f t="shared" si="103"/>
        <v>0.16114936499926963</v>
      </c>
      <c r="BH67" s="153"/>
      <c r="BI67" s="463">
        <f t="shared" si="104"/>
        <v>5.8807063132478568E-3</v>
      </c>
      <c r="BJ67" s="463">
        <f t="shared" si="105"/>
        <v>1.9006548798786747E-2</v>
      </c>
      <c r="BK67" s="463">
        <f t="shared" si="106"/>
        <v>4.3749999999999995E-3</v>
      </c>
      <c r="BL67" s="463">
        <f t="shared" si="107"/>
        <v>1.6087792E-2</v>
      </c>
      <c r="BM67">
        <f t="shared" si="108"/>
        <v>4.3499999999999997E-3</v>
      </c>
      <c r="BN67">
        <f t="shared" si="109"/>
        <v>8.7499999999999992E-6</v>
      </c>
      <c r="BO67" s="463">
        <f t="shared" si="110"/>
        <v>5.0557546913063495E-2</v>
      </c>
      <c r="BP67" s="147">
        <f t="shared" si="60"/>
        <v>50.557546913063497</v>
      </c>
      <c r="BQ67" s="463">
        <f t="shared" si="111"/>
        <v>4.3524406029506225E-2</v>
      </c>
      <c r="BR67" s="463"/>
      <c r="BT67" s="147">
        <f t="shared" si="61"/>
        <v>43.524406029506224</v>
      </c>
      <c r="BU67" s="463">
        <f t="shared" si="112"/>
        <v>1.6802018037851019E-2</v>
      </c>
      <c r="BV67" s="463">
        <f t="shared" si="113"/>
        <v>2.5969117839667828E-2</v>
      </c>
      <c r="BW67" s="463">
        <f t="shared" si="114"/>
        <v>0</v>
      </c>
      <c r="BX67" s="463">
        <f t="shared" si="115"/>
        <v>4.8068146520919258E-2</v>
      </c>
      <c r="BY67" s="463">
        <f t="shared" si="116"/>
        <v>2.2454846335697397E-2</v>
      </c>
      <c r="BZ67" s="147">
        <f t="shared" si="62"/>
        <v>70.522992856616654</v>
      </c>
      <c r="CA67" s="153">
        <f t="shared" si="63"/>
        <v>0.16460494579918636</v>
      </c>
      <c r="CB67" s="5">
        <f t="shared" si="64"/>
        <v>0.92999999999999994</v>
      </c>
      <c r="CC67" s="153">
        <f t="shared" si="65"/>
        <v>0.84962159505043533</v>
      </c>
      <c r="CD67" s="5">
        <f t="shared" si="66"/>
        <v>84.96215950504353</v>
      </c>
      <c r="CG67" s="59">
        <f t="shared" si="117"/>
        <v>-50</v>
      </c>
      <c r="CH67">
        <f t="shared" si="118"/>
        <v>-50</v>
      </c>
    </row>
    <row r="68" spans="5:86" x14ac:dyDescent="0.25">
      <c r="E68" s="150">
        <v>63</v>
      </c>
      <c r="F68" s="191">
        <f t="shared" si="119"/>
        <v>6.3E-2</v>
      </c>
      <c r="G68" s="191"/>
      <c r="H68" s="191">
        <f t="shared" si="67"/>
        <v>0.94500000000000006</v>
      </c>
      <c r="I68" s="472">
        <f t="shared" si="68"/>
        <v>15</v>
      </c>
      <c r="J68" s="152">
        <f t="shared" si="69"/>
        <v>15.32</v>
      </c>
      <c r="K68" s="386">
        <f t="shared" si="70"/>
        <v>30.32</v>
      </c>
      <c r="L68" s="386"/>
      <c r="M68" s="191">
        <f t="shared" si="71"/>
        <v>0.50527704485488123</v>
      </c>
      <c r="N68" s="152">
        <f t="shared" si="72"/>
        <v>2.5579650395778364</v>
      </c>
      <c r="O68" s="152">
        <f t="shared" si="53"/>
        <v>0.94500000000000006</v>
      </c>
      <c r="P68" s="191">
        <f t="shared" si="73"/>
        <v>0.17053100263852242</v>
      </c>
      <c r="Q68" s="191">
        <f t="shared" si="74"/>
        <v>15</v>
      </c>
      <c r="R68" s="191">
        <f t="shared" si="75"/>
        <v>0.18947889182058048</v>
      </c>
      <c r="S68" s="152">
        <f t="shared" si="76"/>
        <v>65.430146496765715</v>
      </c>
      <c r="T68" s="152">
        <f t="shared" si="77"/>
        <v>15</v>
      </c>
      <c r="U68" s="191">
        <f t="shared" si="78"/>
        <v>0.27707571801566583</v>
      </c>
      <c r="V68" s="191">
        <f t="shared" si="79"/>
        <v>0.86817058311575279</v>
      </c>
      <c r="W68" s="191">
        <f t="shared" si="80"/>
        <v>0.85003647171907915</v>
      </c>
      <c r="X68" s="175">
        <f t="shared" si="81"/>
        <v>350</v>
      </c>
      <c r="Y68" s="386">
        <f t="shared" si="54"/>
        <v>350</v>
      </c>
      <c r="AA68" s="191">
        <f t="shared" si="82"/>
        <v>0.46073894667618365</v>
      </c>
      <c r="AB68" s="153">
        <f t="shared" si="83"/>
        <v>1.4134941575574826</v>
      </c>
      <c r="AC68" s="153">
        <f t="shared" si="84"/>
        <v>0.11396906662504547</v>
      </c>
      <c r="AD68" s="153"/>
      <c r="AE68" s="153">
        <f t="shared" si="85"/>
        <v>0.46018276762402083</v>
      </c>
      <c r="AF68" s="317">
        <f t="shared" si="86"/>
        <v>1825.36170212766</v>
      </c>
      <c r="AG68" s="463">
        <f t="shared" si="87"/>
        <v>1.2079797650130546E-2</v>
      </c>
      <c r="AI68" s="153">
        <f t="shared" si="88"/>
        <v>0.36108583290320911</v>
      </c>
      <c r="AJ68" s="153">
        <f t="shared" si="89"/>
        <v>0.36108583290320911</v>
      </c>
      <c r="AK68" s="153">
        <f t="shared" si="90"/>
        <v>1.3407238886021393</v>
      </c>
      <c r="AM68" s="317">
        <f t="shared" si="91"/>
        <v>63</v>
      </c>
      <c r="AN68" s="147">
        <f t="shared" si="92"/>
        <v>350</v>
      </c>
      <c r="AP68">
        <f t="shared" si="93"/>
        <v>63</v>
      </c>
      <c r="AQ68">
        <f t="shared" si="94"/>
        <v>350</v>
      </c>
      <c r="AS68" s="5">
        <f t="shared" si="55"/>
        <v>2.8571428571428572</v>
      </c>
      <c r="AT68" s="5">
        <f t="shared" si="95"/>
        <v>1.1314022764300553</v>
      </c>
      <c r="AU68" s="5">
        <f t="shared" si="56"/>
        <v>1.7257405807128019</v>
      </c>
      <c r="AV68" s="5">
        <f t="shared" si="96"/>
        <v>1.1077698529014901</v>
      </c>
      <c r="AW68" s="153">
        <f t="shared" si="57"/>
        <v>0.39599079675051935</v>
      </c>
      <c r="AX68" s="153">
        <f t="shared" si="97"/>
        <v>1.0724</v>
      </c>
      <c r="AY68" s="153">
        <f t="shared" si="98"/>
        <v>0.10904958311827122</v>
      </c>
      <c r="AZ68" s="153">
        <f t="shared" si="58"/>
        <v>9.8340586853680492</v>
      </c>
      <c r="BA68" s="147">
        <f t="shared" si="99"/>
        <v>3.3279803794703455</v>
      </c>
      <c r="BB68" s="147">
        <f t="shared" si="100"/>
        <v>5.9456053305599985</v>
      </c>
      <c r="BC68" s="5">
        <f t="shared" si="101"/>
        <v>0.16106912086652819</v>
      </c>
      <c r="BD68" s="147">
        <f t="shared" si="102"/>
        <v>12.290184064989612</v>
      </c>
      <c r="BE68" s="5"/>
      <c r="BF68" s="153">
        <f t="shared" si="59"/>
        <v>0.13118747352216581</v>
      </c>
      <c r="BG68" s="153">
        <f t="shared" si="103"/>
        <v>0.16202110880583573</v>
      </c>
      <c r="BH68" s="153"/>
      <c r="BI68" s="463">
        <f t="shared" si="104"/>
        <v>6.0235536231951345E-3</v>
      </c>
      <c r="BJ68" s="463">
        <f t="shared" si="105"/>
        <v>1.9159214293844276E-2</v>
      </c>
      <c r="BK68" s="463">
        <f t="shared" si="106"/>
        <v>4.3749999999999995E-3</v>
      </c>
      <c r="BL68" s="463">
        <f t="shared" si="107"/>
        <v>1.6087792E-2</v>
      </c>
      <c r="BM68">
        <f t="shared" si="108"/>
        <v>4.3499999999999997E-3</v>
      </c>
      <c r="BN68">
        <f t="shared" si="109"/>
        <v>8.7499999999999992E-6</v>
      </c>
      <c r="BO68" s="463">
        <f t="shared" si="110"/>
        <v>5.0874028285872515E-2</v>
      </c>
      <c r="BP68" s="147">
        <f t="shared" si="60"/>
        <v>50.874028285872512</v>
      </c>
      <c r="BQ68" s="463">
        <f t="shared" si="111"/>
        <v>4.4121641529785753E-2</v>
      </c>
      <c r="BR68" s="463"/>
      <c r="BT68" s="147">
        <f t="shared" si="61"/>
        <v>44.121641529785755</v>
      </c>
      <c r="BU68" s="463">
        <f t="shared" si="112"/>
        <v>1.7210153209128956E-2</v>
      </c>
      <c r="BV68" s="463">
        <f t="shared" si="113"/>
        <v>2.6250839698672458E-2</v>
      </c>
      <c r="BW68" s="463">
        <f t="shared" si="114"/>
        <v>0</v>
      </c>
      <c r="BX68" s="463">
        <f t="shared" si="115"/>
        <v>4.884614421090748E-2</v>
      </c>
      <c r="BY68" s="463">
        <f t="shared" si="116"/>
        <v>2.2817021276595753E-2</v>
      </c>
      <c r="BZ68" s="147">
        <f t="shared" si="62"/>
        <v>71.663165487503235</v>
      </c>
      <c r="CA68" s="153">
        <f t="shared" si="63"/>
        <v>0.1666588353031615</v>
      </c>
      <c r="CB68" s="5">
        <f t="shared" si="64"/>
        <v>0.94500000000000006</v>
      </c>
      <c r="CC68" s="153">
        <f t="shared" si="65"/>
        <v>0.85008095108809911</v>
      </c>
      <c r="CD68" s="5">
        <f t="shared" si="66"/>
        <v>85.008095108809911</v>
      </c>
      <c r="CG68" s="59">
        <f t="shared" si="117"/>
        <v>-50</v>
      </c>
      <c r="CH68">
        <f t="shared" si="118"/>
        <v>-50</v>
      </c>
    </row>
    <row r="69" spans="5:86" x14ac:dyDescent="0.25">
      <c r="E69" s="150">
        <v>64</v>
      </c>
      <c r="F69" s="191">
        <f t="shared" si="119"/>
        <v>6.4000000000000001E-2</v>
      </c>
      <c r="G69" s="191"/>
      <c r="H69" s="191">
        <f t="shared" ref="H69:H100" si="120">F69*Vout</f>
        <v>0.96</v>
      </c>
      <c r="I69" s="472">
        <f t="shared" ref="I69:I105" si="121">Vin</f>
        <v>15</v>
      </c>
      <c r="J69" s="152">
        <f t="shared" ref="J69:J105" si="122">(T69+Vfwd1)*Nps</f>
        <v>15.32</v>
      </c>
      <c r="K69" s="386">
        <f t="shared" ref="K69:K105" si="123">(Vout+Vfwd1)*Nps+I69</f>
        <v>30.32</v>
      </c>
      <c r="L69" s="386"/>
      <c r="M69" s="191">
        <f t="shared" ref="M69:M105" si="124">(Vout+Vfwd1)*Nps/((Vout+Vfwd1)*Nps+I69)</f>
        <v>0.50527704485488123</v>
      </c>
      <c r="N69" s="152">
        <f t="shared" ref="N69:N100" si="125">M69*I69*Isw_max*0.5*Efficiency</f>
        <v>2.5579650395778364</v>
      </c>
      <c r="O69" s="152">
        <f t="shared" si="53"/>
        <v>0.96</v>
      </c>
      <c r="P69" s="191">
        <f t="shared" ref="P69:P100" si="126">N69/Vout</f>
        <v>0.17053100263852242</v>
      </c>
      <c r="Q69" s="191">
        <f t="shared" ref="Q69:Q105" si="127">MIN(Vout,N69/F69)</f>
        <v>15</v>
      </c>
      <c r="R69" s="191">
        <f t="shared" ref="R69:R100" si="128">Isw_max/2*I69*Nps*(Q69+Vfwd1)/Q69/(I69+Nps*(Q69+Vfwd1))</f>
        <v>0.18947889182058048</v>
      </c>
      <c r="S69" s="152">
        <f t="shared" ref="S69:S105" si="129">(SQRT(Isw_max^2*Nps^2*I69^2+4*Isw_max*F69/Efficiency*(Nps^2*Vfwd1*I69-Nps*I69^2)+4*(F69/Efficiency)^2*Nps^2*Vfwd1^2+8*(F69/Efficiency)^2*Nps*Vfwd1*I69+4*(F69/Efficiency)^2*I69^2)-2*F69/Efficiency*I69-2*F69/Efficiency*Nps*Vfwd1+Isw_max*Nps*I69)/(4*F69/Efficiency*Nps)</f>
        <v>64.175985736503577</v>
      </c>
      <c r="T69" s="152">
        <f t="shared" ref="T69:T100" si="130">MIN(Vout, S69)</f>
        <v>15</v>
      </c>
      <c r="U69" s="191">
        <f t="shared" ref="U69:U105" si="131">MIN(2*Vout*F69/(Efficiency*I69*M69), Isw_max)</f>
        <v>0.28147374528575575</v>
      </c>
      <c r="V69" s="191">
        <f t="shared" ref="V69:V100" si="132">L*U69/I69*1000000</f>
        <v>0.88195106856203465</v>
      </c>
      <c r="W69" s="191">
        <f t="shared" ref="W69:W105" si="133">L*U69/J69*1000000</f>
        <v>0.86352911412731848</v>
      </c>
      <c r="X69" s="175">
        <f t="shared" ref="X69:X105" si="134">IF(1/((350000*L)*(1/I69+1/J69))&gt;Isw_min, 350, 0.001/((Isw_min*L)*(1/I69+1/J69)))</f>
        <v>350</v>
      </c>
      <c r="Y69" s="386">
        <f t="shared" si="54"/>
        <v>350</v>
      </c>
      <c r="AA69" s="191">
        <f t="shared" ref="AA69:AA105" si="135">1/((X69*1000*L)*(1/I69+1/J69))</f>
        <v>0.46073894667618365</v>
      </c>
      <c r="AB69" s="153">
        <f t="shared" ref="AB69:AB100" si="136">L*AA69/J69*1000000</f>
        <v>1.4134941575574826</v>
      </c>
      <c r="AC69" s="153">
        <f t="shared" ref="AC69:AC100" si="137">0.5*AB69*AA69*Nps*X69/1000</f>
        <v>0.11396906662504547</v>
      </c>
      <c r="AD69" s="153"/>
      <c r="AE69" s="153">
        <f t="shared" ref="AE69:AE105" si="138">L*Isw_min/J69*1000000</f>
        <v>0.46018276762402083</v>
      </c>
      <c r="AF69" s="317">
        <f t="shared" ref="AF69:AF100" si="139">MAX(12, F69/(0.5*AE69/1000000*Isw_min*Nps)/1000)</f>
        <v>1854.3356973995278</v>
      </c>
      <c r="AG69" s="463">
        <f t="shared" ref="AG69:AG105" si="140">0.5*AE69/1000000*Isw_min*Nps*X69*1000</f>
        <v>1.2079797650130546E-2</v>
      </c>
      <c r="AI69" s="153">
        <f t="shared" ref="AI69:AI105" si="141">SQRT(F69/Efficiency/(0.5*L/J69*Fsw_DCM*Nps))</f>
        <v>0.3639403107849582</v>
      </c>
      <c r="AJ69" s="153">
        <f t="shared" ref="AJ69:AJ100" si="142">MAX(IF(F69&gt;AC69,U69,AI69),Isw_min)</f>
        <v>0.3639403107849582</v>
      </c>
      <c r="AK69" s="153">
        <f t="shared" ref="AK69:AK100" si="143">IF(F69&gt;AG69, (AJ69-Isw_min)/1.2*0.8+1.2, AF69*0.2/350+1)</f>
        <v>1.3426268738566387</v>
      </c>
      <c r="AM69" s="317">
        <f t="shared" ref="AM69:AM105" si="144">F69*1000</f>
        <v>64</v>
      </c>
      <c r="AN69" s="147">
        <f t="shared" ref="AN69:AN105" si="145">IF(F69&gt;AG69, Y69, AF69)</f>
        <v>350</v>
      </c>
      <c r="AP69">
        <f t="shared" ref="AP69:AP105" si="146">IF(H69&gt;N69, "",AM69)</f>
        <v>64</v>
      </c>
      <c r="AQ69">
        <f t="shared" ref="AQ69:AQ105" si="147">IF(H69&gt;N69, "",AN69)</f>
        <v>350</v>
      </c>
      <c r="AS69" s="5">
        <f t="shared" si="55"/>
        <v>2.8571428571428572</v>
      </c>
      <c r="AT69" s="5">
        <f t="shared" ref="AT69:AT105" si="148">L*AJ69/I69*1000000</f>
        <v>1.1403463071262026</v>
      </c>
      <c r="AU69" s="5">
        <f t="shared" si="56"/>
        <v>1.7167965500166547</v>
      </c>
      <c r="AV69" s="5">
        <f t="shared" ref="AV69:AV105" si="149">L*AJ69/J69*1000000</f>
        <v>1.1165270631131223</v>
      </c>
      <c r="AW69" s="153">
        <f t="shared" si="57"/>
        <v>0.3991212074941709</v>
      </c>
      <c r="AX69" s="153">
        <f t="shared" ref="AX69:AX132" si="150">0.5*L*AJ69^2*AN69*1000</f>
        <v>1.0894222222222225</v>
      </c>
      <c r="AY69" s="153">
        <f t="shared" ref="AY69:AY132" si="151">AJ69*Nps/2*(1-AW69)</f>
        <v>0.10934200724433092</v>
      </c>
      <c r="AZ69" s="153">
        <f t="shared" si="58"/>
        <v>9.9634371974519063</v>
      </c>
      <c r="BA69" s="147">
        <f t="shared" ref="BA69:BA105" si="152">L*Isw_max^2/(2*Vout_ripple*Vout)*1000000000*((1+M69)/2)^2</f>
        <v>3.3279803794703455</v>
      </c>
      <c r="BB69" s="147">
        <f t="shared" ref="BB69:BB105" si="153">L*F69^2/(2*Cout*Vout*Nps^2)*1000000000*((1+M69)/(1-M69))^2+F69*RCoutEsr</f>
        <v>6.1328050980029598</v>
      </c>
      <c r="BC69" s="5">
        <f t="shared" ref="BC69:BC105" si="154">H69/Efficiency/I69*AU69/Vinripple1</f>
        <v>0.16277774696454209</v>
      </c>
      <c r="BD69" s="147">
        <f t="shared" ref="BD69:BD105" si="155">((CB69/I69/Efficiency)*AU69/Cin+(CB69/I69/Efficiency)*RCinEsr)*1000</f>
        <v>12.42166435567399</v>
      </c>
      <c r="BE69" s="5"/>
      <c r="BF69" s="153">
        <f t="shared" si="59"/>
        <v>0.1327461507509051</v>
      </c>
      <c r="BG69" s="153">
        <f t="shared" ref="BG69:BG132" si="156">AJ69*Nps*SQRT((1-AW69)/3)</f>
        <v>0.16287820418614016</v>
      </c>
      <c r="BH69" s="153"/>
      <c r="BI69" s="463">
        <f t="shared" ref="BI69:BI105" si="157">Rdson*BF69^2</f>
        <v>6.1675391887137066E-3</v>
      </c>
      <c r="BJ69" s="463">
        <f t="shared" ref="BJ69:BJ105" si="158">0.5*K69*AJ69*AN69*1000*Trise</f>
        <v>1.9310672890249885E-2</v>
      </c>
      <c r="BK69" s="463">
        <f t="shared" ref="BK69:BK105" si="159">Qg*Vdd*AN69*1000</f>
        <v>4.3749999999999995E-3</v>
      </c>
      <c r="BL69" s="463">
        <f t="shared" ref="BL69:BL105" si="160">0.5*(Coss+Csw)*K69^2*AN69*1000</f>
        <v>1.6087792E-2</v>
      </c>
      <c r="BM69">
        <f t="shared" ref="BM69:BM105" si="161">I69*IQ</f>
        <v>4.3499999999999997E-3</v>
      </c>
      <c r="BN69">
        <f t="shared" ref="BN69:BN105" si="162">(I69-Vdd)*Qg*AN69</f>
        <v>8.7499999999999992E-6</v>
      </c>
      <c r="BO69" s="463">
        <f t="shared" ref="BO69:BO100" si="163">(BJ69+BK69+BL69+BM69+BN69+BI69*(1+RdsonTC*(Ta-25)))/(1-BI69*RdsonTC*ThetaJA)</f>
        <v>5.1190622240576786E-2</v>
      </c>
      <c r="BP69" s="147">
        <f t="shared" si="60"/>
        <v>51.190622240576786</v>
      </c>
      <c r="BQ69" s="463">
        <f t="shared" ref="BQ69:BQ105" si="164">(Vfwd2*F69+BG69^2*Rdiode)*(1+Diode_TC/1000*(Ta-25))</f>
        <v>4.4716392380761104E-2</v>
      </c>
      <c r="BR69" s="463"/>
      <c r="BT69" s="147">
        <f t="shared" si="61"/>
        <v>44.716392380761107</v>
      </c>
      <c r="BU69" s="463">
        <f t="shared" ref="BU69:BU105" si="165">Rdcr_pri*BF69^2</f>
        <v>1.762154053918202E-2</v>
      </c>
      <c r="BV69" s="463">
        <f t="shared" ref="BV69:BV105" si="166">Rdcr_sec*BG69^2</f>
        <v>2.6529309398901964E-2</v>
      </c>
      <c r="BW69" s="463">
        <f t="shared" ref="BW69:BW105" si="167">AJ69^2.5*AN69^2.5*k_core</f>
        <v>0</v>
      </c>
      <c r="BX69" s="463">
        <f t="shared" ref="BX69:BX100" si="168">(BW69+(BU69+BV69)*(1+Ltc*(Ta-25)))/(1-(BU69+BV69)*Ltc*ThetaCa)</f>
        <v>4.9624228078428784E-2</v>
      </c>
      <c r="BY69" s="463">
        <f t="shared" ref="BY69:BY105" si="169">0.5*Lleak*0.000000001*AJ69^2*AN69*1000</f>
        <v>2.3179196217494098E-2</v>
      </c>
      <c r="BZ69" s="147">
        <f t="shared" si="62"/>
        <v>72.803424295922881</v>
      </c>
      <c r="CA69" s="153">
        <f t="shared" si="63"/>
        <v>0.16871043891726076</v>
      </c>
      <c r="CB69" s="5">
        <f t="shared" si="64"/>
        <v>0.96</v>
      </c>
      <c r="CC69" s="153">
        <f t="shared" si="65"/>
        <v>0.85052814867283433</v>
      </c>
      <c r="CD69" s="5">
        <f t="shared" si="66"/>
        <v>85.052814867283431</v>
      </c>
      <c r="CG69" s="59">
        <f t="shared" ref="CG69:CG105" si="170">IF(ABS(F69-Ioutmax_Vinnom)&lt;Iout/200, AN69, -50)</f>
        <v>-50</v>
      </c>
      <c r="CH69">
        <f t="shared" ref="CH69:CH105" si="171">IF(ABS(F69-Ioutmax_Vinnom)&lt;Iout/200, N69*CC69, -50)</f>
        <v>-50</v>
      </c>
    </row>
    <row r="70" spans="5:86" x14ac:dyDescent="0.25">
      <c r="E70" s="150">
        <v>65</v>
      </c>
      <c r="F70" s="191">
        <f t="shared" ref="F70:F101" si="172">IF(PLOT_TYPE=1, E70/100*Iout_max, min_I*EXP(N70*rr/100))</f>
        <v>6.5000000000000002E-2</v>
      </c>
      <c r="G70" s="191"/>
      <c r="H70" s="191">
        <f t="shared" si="120"/>
        <v>0.97500000000000009</v>
      </c>
      <c r="I70" s="472">
        <f t="shared" si="121"/>
        <v>15</v>
      </c>
      <c r="J70" s="152">
        <f t="shared" si="122"/>
        <v>15.32</v>
      </c>
      <c r="K70" s="386">
        <f t="shared" si="123"/>
        <v>30.32</v>
      </c>
      <c r="L70" s="386"/>
      <c r="M70" s="191">
        <f t="shared" si="124"/>
        <v>0.50527704485488123</v>
      </c>
      <c r="N70" s="152">
        <f t="shared" si="125"/>
        <v>2.5579650395778364</v>
      </c>
      <c r="O70" s="152">
        <f t="shared" ref="O70:O133" si="173">T70*F70</f>
        <v>0.97500000000000009</v>
      </c>
      <c r="P70" s="191">
        <f t="shared" si="126"/>
        <v>0.17053100263852242</v>
      </c>
      <c r="Q70" s="191">
        <f t="shared" si="127"/>
        <v>15</v>
      </c>
      <c r="R70" s="191">
        <f t="shared" si="128"/>
        <v>0.18947889182058048</v>
      </c>
      <c r="S70" s="152">
        <f t="shared" si="129"/>
        <v>62.960468173612306</v>
      </c>
      <c r="T70" s="152">
        <f t="shared" si="130"/>
        <v>15</v>
      </c>
      <c r="U70" s="191">
        <f t="shared" si="131"/>
        <v>0.28587177255584573</v>
      </c>
      <c r="V70" s="191">
        <f t="shared" si="132"/>
        <v>0.8957315540083165</v>
      </c>
      <c r="W70" s="191">
        <f t="shared" si="133"/>
        <v>0.87702175653555792</v>
      </c>
      <c r="X70" s="175">
        <f t="shared" si="134"/>
        <v>350</v>
      </c>
      <c r="Y70" s="386">
        <f t="shared" ref="Y70:Y105" si="174">MIN(1/(V70+W70)*1000, 350)</f>
        <v>350</v>
      </c>
      <c r="AA70" s="191">
        <f t="shared" si="135"/>
        <v>0.46073894667618365</v>
      </c>
      <c r="AB70" s="153">
        <f t="shared" si="136"/>
        <v>1.4134941575574826</v>
      </c>
      <c r="AC70" s="153">
        <f t="shared" si="137"/>
        <v>0.11396906662504547</v>
      </c>
      <c r="AD70" s="153"/>
      <c r="AE70" s="153">
        <f t="shared" si="138"/>
        <v>0.46018276762402083</v>
      </c>
      <c r="AF70" s="317">
        <f t="shared" si="139"/>
        <v>1883.3096926713954</v>
      </c>
      <c r="AG70" s="463">
        <f t="shared" si="140"/>
        <v>1.2079797650130546E-2</v>
      </c>
      <c r="AI70" s="153">
        <f t="shared" si="141"/>
        <v>0.36677257381802642</v>
      </c>
      <c r="AJ70" s="153">
        <f t="shared" si="89"/>
        <v>0.36677257381802642</v>
      </c>
      <c r="AK70" s="153">
        <f t="shared" si="143"/>
        <v>1.3445150492120175</v>
      </c>
      <c r="AM70" s="317">
        <f t="shared" si="144"/>
        <v>65</v>
      </c>
      <c r="AN70" s="147">
        <f t="shared" si="145"/>
        <v>350</v>
      </c>
      <c r="AP70">
        <f t="shared" si="146"/>
        <v>65</v>
      </c>
      <c r="AQ70">
        <f t="shared" si="147"/>
        <v>350</v>
      </c>
      <c r="AS70" s="5">
        <f t="shared" ref="AS70:AS133" si="175">1/AN70*1000</f>
        <v>2.8571428571428572</v>
      </c>
      <c r="AT70" s="5">
        <f t="shared" si="148"/>
        <v>1.1492207312964828</v>
      </c>
      <c r="AU70" s="5">
        <f t="shared" ref="AU70:AU105" si="176">AS70-AT70</f>
        <v>1.7079221258463744</v>
      </c>
      <c r="AV70" s="5">
        <f t="shared" si="149"/>
        <v>1.1252161207210993</v>
      </c>
      <c r="AW70" s="153">
        <f t="shared" ref="AW70:AW105" si="177">AT70/AS70</f>
        <v>0.40222725595376896</v>
      </c>
      <c r="AX70" s="153">
        <f t="shared" si="150"/>
        <v>1.1064444444444443</v>
      </c>
      <c r="AY70" s="153">
        <f t="shared" si="151"/>
        <v>0.10962332394605025</v>
      </c>
      <c r="AZ70" s="153">
        <f t="shared" ref="AZ70:AZ133" si="178">AX70/AY70</f>
        <v>10.093148105862646</v>
      </c>
      <c r="BA70" s="147">
        <f t="shared" si="152"/>
        <v>3.3279803794703455</v>
      </c>
      <c r="BB70" s="147">
        <f t="shared" si="153"/>
        <v>6.3229056491851834</v>
      </c>
      <c r="BC70" s="5">
        <f t="shared" si="154"/>
        <v>0.16446657508150272</v>
      </c>
      <c r="BD70" s="147">
        <f t="shared" si="155"/>
        <v>12.551659797779372</v>
      </c>
      <c r="BE70" s="5"/>
      <c r="BF70" s="153">
        <f t="shared" ref="BF70:BF133" si="179">AJ70*SQRT(AW70/3)</f>
        <v>0.13429875099535782</v>
      </c>
      <c r="BG70" s="153">
        <f t="shared" si="156"/>
        <v>0.16372095910253343</v>
      </c>
      <c r="BH70" s="153"/>
      <c r="BI70" s="463">
        <f t="shared" si="157"/>
        <v>6.312654081619593E-3</v>
      </c>
      <c r="BJ70" s="463">
        <f t="shared" si="158"/>
        <v>1.9460952766784483E-2</v>
      </c>
      <c r="BK70" s="463">
        <f t="shared" si="159"/>
        <v>4.3749999999999995E-3</v>
      </c>
      <c r="BL70" s="463">
        <f t="shared" si="160"/>
        <v>1.6087792E-2</v>
      </c>
      <c r="BM70">
        <f t="shared" si="161"/>
        <v>4.3499999999999997E-3</v>
      </c>
      <c r="BN70">
        <f t="shared" si="162"/>
        <v>8.7499999999999992E-6</v>
      </c>
      <c r="BO70" s="463">
        <f t="shared" si="163"/>
        <v>5.1507346967242934E-2</v>
      </c>
      <c r="BP70" s="147">
        <f t="shared" ref="BP70:BP105" si="180">BO70*1000</f>
        <v>51.507346967242931</v>
      </c>
      <c r="BQ70" s="463">
        <f t="shared" si="164"/>
        <v>4.5308678071382419E-2</v>
      </c>
      <c r="BR70" s="463"/>
      <c r="BT70" s="147">
        <f t="shared" ref="BT70:BT105" si="181">SUM(BQ70:BS70)*1000</f>
        <v>45.308678071382417</v>
      </c>
      <c r="BU70" s="463">
        <f t="shared" si="165"/>
        <v>1.8036154518913123E-2</v>
      </c>
      <c r="BV70" s="463">
        <f t="shared" si="166"/>
        <v>2.6804552449453421E-2</v>
      </c>
      <c r="BW70" s="463">
        <f t="shared" si="167"/>
        <v>0</v>
      </c>
      <c r="BX70" s="463">
        <f t="shared" si="168"/>
        <v>5.0402398137802548E-2</v>
      </c>
      <c r="BY70" s="463">
        <f t="shared" si="169"/>
        <v>2.354137115839244E-2</v>
      </c>
      <c r="BZ70" s="147">
        <f t="shared" ref="BZ70:BZ105" si="182">1000*(BX70+BY70)</f>
        <v>73.943769296194986</v>
      </c>
      <c r="CA70" s="153">
        <f t="shared" ref="CA70:CA105" si="183">SUM(BO70,BQ70:BS70,BX70, BY70)</f>
        <v>0.17075979433482036</v>
      </c>
      <c r="CB70" s="5">
        <f t="shared" ref="CB70:CB105" si="184">MIN(H70,O70)</f>
        <v>0.97500000000000009</v>
      </c>
      <c r="CC70" s="153">
        <f t="shared" ref="CC70:CC105" si="185">CB70/(CB70+CA70)</f>
        <v>0.85096370532537635</v>
      </c>
      <c r="CD70" s="5">
        <f t="shared" ref="CD70:CD105" si="186">CC70*100</f>
        <v>85.096370532537634</v>
      </c>
      <c r="CG70" s="59">
        <f t="shared" si="170"/>
        <v>-50</v>
      </c>
      <c r="CH70">
        <f t="shared" si="171"/>
        <v>-50</v>
      </c>
    </row>
    <row r="71" spans="5:86" x14ac:dyDescent="0.25">
      <c r="E71" s="150">
        <v>66</v>
      </c>
      <c r="F71" s="191">
        <f t="shared" si="172"/>
        <v>6.6000000000000003E-2</v>
      </c>
      <c r="G71" s="191"/>
      <c r="H71" s="191">
        <f t="shared" si="120"/>
        <v>0.99</v>
      </c>
      <c r="I71" s="472">
        <f t="shared" si="121"/>
        <v>15</v>
      </c>
      <c r="J71" s="152">
        <f t="shared" si="122"/>
        <v>15.32</v>
      </c>
      <c r="K71" s="386">
        <f t="shared" si="123"/>
        <v>30.32</v>
      </c>
      <c r="L71" s="386"/>
      <c r="M71" s="191">
        <f t="shared" si="124"/>
        <v>0.50527704485488123</v>
      </c>
      <c r="N71" s="152">
        <f t="shared" si="125"/>
        <v>2.5579650395778364</v>
      </c>
      <c r="O71" s="152">
        <f t="shared" si="173"/>
        <v>0.99</v>
      </c>
      <c r="P71" s="191">
        <f t="shared" si="126"/>
        <v>0.17053100263852242</v>
      </c>
      <c r="Q71" s="191">
        <f t="shared" si="127"/>
        <v>15</v>
      </c>
      <c r="R71" s="191">
        <f t="shared" si="128"/>
        <v>0.18947889182058048</v>
      </c>
      <c r="S71" s="152">
        <f t="shared" si="129"/>
        <v>61.781837853062832</v>
      </c>
      <c r="T71" s="152">
        <f t="shared" si="130"/>
        <v>15</v>
      </c>
      <c r="U71" s="191">
        <f t="shared" si="131"/>
        <v>0.29026979982593565</v>
      </c>
      <c r="V71" s="191">
        <f t="shared" si="132"/>
        <v>0.90951203945459835</v>
      </c>
      <c r="W71" s="191">
        <f t="shared" si="133"/>
        <v>0.89051439894379736</v>
      </c>
      <c r="X71" s="175">
        <f t="shared" si="134"/>
        <v>350</v>
      </c>
      <c r="Y71" s="386">
        <f t="shared" si="174"/>
        <v>350</v>
      </c>
      <c r="AA71" s="191">
        <f t="shared" si="135"/>
        <v>0.46073894667618365</v>
      </c>
      <c r="AB71" s="153">
        <f t="shared" si="136"/>
        <v>1.4134941575574826</v>
      </c>
      <c r="AC71" s="153">
        <f t="shared" si="137"/>
        <v>0.11396906662504547</v>
      </c>
      <c r="AD71" s="153"/>
      <c r="AE71" s="153">
        <f t="shared" si="138"/>
        <v>0.46018276762402083</v>
      </c>
      <c r="AF71" s="317">
        <f t="shared" si="139"/>
        <v>1912.283687943263</v>
      </c>
      <c r="AG71" s="463">
        <f t="shared" si="140"/>
        <v>1.2079797650130546E-2</v>
      </c>
      <c r="AI71" s="153">
        <f t="shared" si="141"/>
        <v>0.36958313272651838</v>
      </c>
      <c r="AJ71" s="153">
        <f t="shared" si="89"/>
        <v>0.36958313272651838</v>
      </c>
      <c r="AK71" s="153">
        <f t="shared" si="143"/>
        <v>1.3463887551510123</v>
      </c>
      <c r="AM71" s="317">
        <f t="shared" si="144"/>
        <v>66</v>
      </c>
      <c r="AN71" s="147">
        <f t="shared" si="145"/>
        <v>350</v>
      </c>
      <c r="AP71">
        <f t="shared" si="146"/>
        <v>66</v>
      </c>
      <c r="AQ71">
        <f t="shared" si="147"/>
        <v>350</v>
      </c>
      <c r="AS71" s="5">
        <f t="shared" si="175"/>
        <v>2.8571428571428572</v>
      </c>
      <c r="AT71" s="5">
        <f t="shared" si="148"/>
        <v>1.1580271492097576</v>
      </c>
      <c r="AU71" s="5">
        <f t="shared" si="176"/>
        <v>1.6991157079330996</v>
      </c>
      <c r="AV71" s="5">
        <f t="shared" si="149"/>
        <v>1.1338385925683006</v>
      </c>
      <c r="AW71" s="153">
        <f t="shared" si="177"/>
        <v>0.40530950222341516</v>
      </c>
      <c r="AX71" s="153">
        <f t="shared" si="150"/>
        <v>1.1234666666666666</v>
      </c>
      <c r="AY71" s="153">
        <f t="shared" si="151"/>
        <v>0.10989378858548141</v>
      </c>
      <c r="AZ71" s="153">
        <f t="shared" si="178"/>
        <v>10.223204433367703</v>
      </c>
      <c r="BA71" s="147">
        <f t="shared" si="152"/>
        <v>3.3279803794703455</v>
      </c>
      <c r="BB71" s="147">
        <f t="shared" si="153"/>
        <v>6.5159069841066648</v>
      </c>
      <c r="BC71" s="5">
        <f t="shared" si="154"/>
        <v>0.16613575810901415</v>
      </c>
      <c r="BD71" s="147">
        <f t="shared" si="155"/>
        <v>12.680181858176063</v>
      </c>
      <c r="BE71" s="5"/>
      <c r="BF71" s="153">
        <f t="shared" si="179"/>
        <v>0.13584539090541062</v>
      </c>
      <c r="BG71" s="153">
        <f t="shared" si="156"/>
        <v>0.16454966960892167</v>
      </c>
      <c r="BH71" s="153"/>
      <c r="BI71" s="463">
        <f t="shared" si="157"/>
        <v>6.4588895805853357E-3</v>
      </c>
      <c r="BJ71" s="463">
        <f t="shared" si="158"/>
        <v>1.9610081022469066E-2</v>
      </c>
      <c r="BK71" s="463">
        <f t="shared" si="159"/>
        <v>4.3749999999999995E-3</v>
      </c>
      <c r="BL71" s="463">
        <f t="shared" si="160"/>
        <v>1.6087792E-2</v>
      </c>
      <c r="BM71">
        <f t="shared" si="161"/>
        <v>4.3499999999999997E-3</v>
      </c>
      <c r="BN71">
        <f t="shared" si="162"/>
        <v>8.7499999999999992E-6</v>
      </c>
      <c r="BO71" s="463">
        <f t="shared" si="163"/>
        <v>5.1824219811949332E-2</v>
      </c>
      <c r="BP71" s="147">
        <f t="shared" si="180"/>
        <v>51.824219811949334</v>
      </c>
      <c r="BQ71" s="463">
        <f t="shared" si="164"/>
        <v>4.5898517639061644E-2</v>
      </c>
      <c r="BR71" s="463"/>
      <c r="BT71" s="147">
        <f t="shared" si="181"/>
        <v>45.898517639061645</v>
      </c>
      <c r="BU71" s="463">
        <f t="shared" si="165"/>
        <v>1.8453970230243817E-2</v>
      </c>
      <c r="BV71" s="463">
        <f t="shared" si="166"/>
        <v>2.707659376840528E-2</v>
      </c>
      <c r="BW71" s="463">
        <f t="shared" si="167"/>
        <v>0</v>
      </c>
      <c r="BX71" s="463">
        <f t="shared" si="168"/>
        <v>5.1180654403351365E-2</v>
      </c>
      <c r="BY71" s="463">
        <f t="shared" si="169"/>
        <v>2.3903546099290782E-2</v>
      </c>
      <c r="BZ71" s="147">
        <f t="shared" si="182"/>
        <v>75.084200502642133</v>
      </c>
      <c r="CA71" s="153">
        <f t="shared" si="183"/>
        <v>0.17280693795365315</v>
      </c>
      <c r="CB71" s="5">
        <f t="shared" si="184"/>
        <v>0.99</v>
      </c>
      <c r="CC71" s="153">
        <f t="shared" si="185"/>
        <v>0.85138810896866102</v>
      </c>
      <c r="CD71" s="5">
        <f t="shared" si="186"/>
        <v>85.138810896866104</v>
      </c>
      <c r="CG71" s="59">
        <f t="shared" si="170"/>
        <v>-50</v>
      </c>
      <c r="CH71">
        <f t="shared" si="171"/>
        <v>-50</v>
      </c>
    </row>
    <row r="72" spans="5:86" x14ac:dyDescent="0.25">
      <c r="E72" s="150">
        <v>67</v>
      </c>
      <c r="F72" s="191">
        <f t="shared" si="172"/>
        <v>6.7000000000000004E-2</v>
      </c>
      <c r="G72" s="191"/>
      <c r="H72" s="191">
        <f t="shared" si="120"/>
        <v>1.0050000000000001</v>
      </c>
      <c r="I72" s="472">
        <f t="shared" si="121"/>
        <v>15</v>
      </c>
      <c r="J72" s="152">
        <f t="shared" si="122"/>
        <v>15.32</v>
      </c>
      <c r="K72" s="386">
        <f t="shared" si="123"/>
        <v>30.32</v>
      </c>
      <c r="L72" s="386"/>
      <c r="M72" s="191">
        <f t="shared" si="124"/>
        <v>0.50527704485488123</v>
      </c>
      <c r="N72" s="152">
        <f t="shared" si="125"/>
        <v>2.5579650395778364</v>
      </c>
      <c r="O72" s="152">
        <f t="shared" si="173"/>
        <v>1.0050000000000001</v>
      </c>
      <c r="P72" s="191">
        <f t="shared" si="126"/>
        <v>0.17053100263852242</v>
      </c>
      <c r="Q72" s="191">
        <f t="shared" si="127"/>
        <v>15</v>
      </c>
      <c r="R72" s="191">
        <f t="shared" si="128"/>
        <v>0.18947889182058048</v>
      </c>
      <c r="S72" s="152">
        <f t="shared" si="129"/>
        <v>60.638443660345025</v>
      </c>
      <c r="T72" s="152">
        <f t="shared" si="130"/>
        <v>15</v>
      </c>
      <c r="U72" s="191">
        <f t="shared" si="131"/>
        <v>0.29466782709602557</v>
      </c>
      <c r="V72" s="191">
        <f t="shared" si="132"/>
        <v>0.92329252490087999</v>
      </c>
      <c r="W72" s="191">
        <f t="shared" si="133"/>
        <v>0.90400704135203658</v>
      </c>
      <c r="X72" s="175">
        <f t="shared" si="134"/>
        <v>350</v>
      </c>
      <c r="Y72" s="386">
        <f t="shared" si="174"/>
        <v>350</v>
      </c>
      <c r="AA72" s="191">
        <f t="shared" si="135"/>
        <v>0.46073894667618365</v>
      </c>
      <c r="AB72" s="153">
        <f t="shared" si="136"/>
        <v>1.4134941575574826</v>
      </c>
      <c r="AC72" s="153">
        <f t="shared" si="137"/>
        <v>0.11396906662504547</v>
      </c>
      <c r="AD72" s="153"/>
      <c r="AE72" s="153">
        <f t="shared" si="138"/>
        <v>0.46018276762402083</v>
      </c>
      <c r="AF72" s="317">
        <f t="shared" si="139"/>
        <v>1941.2576832151306</v>
      </c>
      <c r="AG72" s="463">
        <f t="shared" si="140"/>
        <v>1.2079797650130546E-2</v>
      </c>
      <c r="AI72" s="153">
        <f t="shared" si="141"/>
        <v>0.37237247895997228</v>
      </c>
      <c r="AJ72" s="153">
        <f t="shared" si="142"/>
        <v>0.37237247895997228</v>
      </c>
      <c r="AK72" s="153">
        <f t="shared" si="143"/>
        <v>1.3482483193066481</v>
      </c>
      <c r="AM72" s="317">
        <f t="shared" si="144"/>
        <v>67</v>
      </c>
      <c r="AN72" s="147">
        <f t="shared" si="145"/>
        <v>350</v>
      </c>
      <c r="AP72">
        <f t="shared" si="146"/>
        <v>67</v>
      </c>
      <c r="AQ72">
        <f t="shared" si="147"/>
        <v>350</v>
      </c>
      <c r="AS72" s="5">
        <f t="shared" si="175"/>
        <v>2.8571428571428572</v>
      </c>
      <c r="AT72" s="5">
        <f t="shared" si="148"/>
        <v>1.1667671007412463</v>
      </c>
      <c r="AU72" s="5">
        <f t="shared" si="176"/>
        <v>1.6903757564016109</v>
      </c>
      <c r="AV72" s="5">
        <f t="shared" si="149"/>
        <v>1.1423959863654503</v>
      </c>
      <c r="AW72" s="153">
        <f t="shared" si="177"/>
        <v>0.4083684852594362</v>
      </c>
      <c r="AX72" s="153">
        <f t="shared" si="150"/>
        <v>1.1404888888888887</v>
      </c>
      <c r="AY72" s="153">
        <f t="shared" si="151"/>
        <v>0.11015364688739356</v>
      </c>
      <c r="AZ72" s="153">
        <f t="shared" si="178"/>
        <v>10.35361897781535</v>
      </c>
      <c r="BA72" s="147">
        <f t="shared" si="152"/>
        <v>3.3279803794703455</v>
      </c>
      <c r="BB72" s="147">
        <f t="shared" si="153"/>
        <v>6.7118091027674058</v>
      </c>
      <c r="BC72" s="5">
        <f t="shared" si="154"/>
        <v>0.16778544545023399</v>
      </c>
      <c r="BD72" s="147">
        <f t="shared" si="155"/>
        <v>12.807241742100883</v>
      </c>
      <c r="BE72" s="5"/>
      <c r="BF72" s="153">
        <f t="shared" si="179"/>
        <v>0.13738618316132892</v>
      </c>
      <c r="BG72" s="153">
        <f t="shared" si="156"/>
        <v>0.16536462047636866</v>
      </c>
      <c r="BH72" s="153"/>
      <c r="BI72" s="463">
        <f t="shared" si="157"/>
        <v>6.6062371632733758E-3</v>
      </c>
      <c r="BJ72" s="463">
        <f t="shared" si="158"/>
        <v>1.9758083733616132E-2</v>
      </c>
      <c r="BK72" s="463">
        <f t="shared" si="159"/>
        <v>4.3749999999999995E-3</v>
      </c>
      <c r="BL72" s="463">
        <f t="shared" si="160"/>
        <v>1.6087792E-2</v>
      </c>
      <c r="BM72">
        <f t="shared" si="161"/>
        <v>4.3499999999999997E-3</v>
      </c>
      <c r="BN72">
        <f t="shared" si="162"/>
        <v>8.7499999999999992E-6</v>
      </c>
      <c r="BO72" s="463">
        <f t="shared" si="163"/>
        <v>5.214125732487316E-2</v>
      </c>
      <c r="BP72" s="147">
        <f t="shared" si="180"/>
        <v>52.141257324873159</v>
      </c>
      <c r="BQ72" s="463">
        <f t="shared" si="164"/>
        <v>4.6485929686844195E-2</v>
      </c>
      <c r="BR72" s="463"/>
      <c r="BT72" s="147">
        <f t="shared" si="181"/>
        <v>46.485929686844194</v>
      </c>
      <c r="BU72" s="463">
        <f t="shared" si="165"/>
        <v>1.8874963323638218E-2</v>
      </c>
      <c r="BV72" s="463">
        <f t="shared" si="166"/>
        <v>2.7345457705293445E-2</v>
      </c>
      <c r="BW72" s="463">
        <f t="shared" si="167"/>
        <v>0</v>
      </c>
      <c r="BX72" s="463">
        <f t="shared" si="168"/>
        <v>5.1958996889400991E-2</v>
      </c>
      <c r="BY72" s="463">
        <f t="shared" si="169"/>
        <v>2.426572104018913E-2</v>
      </c>
      <c r="BZ72" s="147">
        <f t="shared" si="182"/>
        <v>76.224717929590128</v>
      </c>
      <c r="CA72" s="153">
        <f t="shared" si="183"/>
        <v>0.17485190494130745</v>
      </c>
      <c r="CB72" s="5">
        <f t="shared" si="184"/>
        <v>1.0050000000000001</v>
      </c>
      <c r="CC72" s="153">
        <f t="shared" si="185"/>
        <v>0.85180182003434946</v>
      </c>
      <c r="CD72" s="5">
        <f t="shared" si="186"/>
        <v>85.18018200343495</v>
      </c>
      <c r="CG72" s="59">
        <f t="shared" si="170"/>
        <v>-50</v>
      </c>
      <c r="CH72">
        <f t="shared" si="171"/>
        <v>-50</v>
      </c>
    </row>
    <row r="73" spans="5:86" x14ac:dyDescent="0.25">
      <c r="E73" s="150">
        <v>68</v>
      </c>
      <c r="F73" s="191">
        <f t="shared" si="172"/>
        <v>6.8000000000000005E-2</v>
      </c>
      <c r="G73" s="191"/>
      <c r="H73" s="191">
        <f t="shared" si="120"/>
        <v>1.02</v>
      </c>
      <c r="I73" s="472">
        <f t="shared" si="121"/>
        <v>15</v>
      </c>
      <c r="J73" s="152">
        <f t="shared" si="122"/>
        <v>15.32</v>
      </c>
      <c r="K73" s="386">
        <f t="shared" si="123"/>
        <v>30.32</v>
      </c>
      <c r="L73" s="386"/>
      <c r="M73" s="191">
        <f t="shared" si="124"/>
        <v>0.50527704485488123</v>
      </c>
      <c r="N73" s="152">
        <f t="shared" si="125"/>
        <v>2.5579650395778364</v>
      </c>
      <c r="O73" s="152">
        <f t="shared" si="173"/>
        <v>1.02</v>
      </c>
      <c r="P73" s="191">
        <f t="shared" si="126"/>
        <v>0.17053100263852242</v>
      </c>
      <c r="Q73" s="191">
        <f t="shared" si="127"/>
        <v>15</v>
      </c>
      <c r="R73" s="191">
        <f t="shared" si="128"/>
        <v>0.18947889182058048</v>
      </c>
      <c r="S73" s="152">
        <f t="shared" si="129"/>
        <v>59.52873161272462</v>
      </c>
      <c r="T73" s="152">
        <f t="shared" si="130"/>
        <v>15</v>
      </c>
      <c r="U73" s="191">
        <f t="shared" si="131"/>
        <v>0.29906585436611549</v>
      </c>
      <c r="V73" s="191">
        <f t="shared" si="132"/>
        <v>0.93707301034716184</v>
      </c>
      <c r="W73" s="191">
        <f t="shared" si="133"/>
        <v>0.91749968376027591</v>
      </c>
      <c r="X73" s="175">
        <f t="shared" si="134"/>
        <v>350</v>
      </c>
      <c r="Y73" s="386">
        <f t="shared" si="174"/>
        <v>350</v>
      </c>
      <c r="AA73" s="191">
        <f t="shared" si="135"/>
        <v>0.46073894667618365</v>
      </c>
      <c r="AB73" s="153">
        <f t="shared" si="136"/>
        <v>1.4134941575574826</v>
      </c>
      <c r="AC73" s="153">
        <f t="shared" si="137"/>
        <v>0.11396906662504547</v>
      </c>
      <c r="AD73" s="153"/>
      <c r="AE73" s="153">
        <f t="shared" si="138"/>
        <v>0.46018276762402083</v>
      </c>
      <c r="AF73" s="317">
        <f t="shared" si="139"/>
        <v>1970.2316784869981</v>
      </c>
      <c r="AG73" s="463">
        <f t="shared" si="140"/>
        <v>1.2079797650130546E-2</v>
      </c>
      <c r="AI73" s="153">
        <f t="shared" si="141"/>
        <v>0.37514108569662519</v>
      </c>
      <c r="AJ73" s="153">
        <f t="shared" si="142"/>
        <v>0.37514108569662519</v>
      </c>
      <c r="AK73" s="153">
        <f t="shared" si="143"/>
        <v>1.3500940571310833</v>
      </c>
      <c r="AM73" s="317">
        <f t="shared" si="144"/>
        <v>68</v>
      </c>
      <c r="AN73" s="147">
        <f t="shared" si="145"/>
        <v>350</v>
      </c>
      <c r="AP73">
        <f t="shared" si="146"/>
        <v>68</v>
      </c>
      <c r="AQ73">
        <f t="shared" si="147"/>
        <v>350</v>
      </c>
      <c r="AS73" s="5">
        <f t="shared" si="175"/>
        <v>2.8571428571428572</v>
      </c>
      <c r="AT73" s="5">
        <f t="shared" si="148"/>
        <v>1.1754420685160922</v>
      </c>
      <c r="AU73" s="5">
        <f t="shared" si="176"/>
        <v>1.681700788626765</v>
      </c>
      <c r="AV73" s="5">
        <f t="shared" si="149"/>
        <v>1.1508897537690197</v>
      </c>
      <c r="AW73" s="153">
        <f t="shared" si="177"/>
        <v>0.41140472398063227</v>
      </c>
      <c r="AX73" s="153">
        <f t="shared" si="150"/>
        <v>1.1575111111111109</v>
      </c>
      <c r="AY73" s="153">
        <f t="shared" si="151"/>
        <v>0.1104031354409052</v>
      </c>
      <c r="AZ73" s="153">
        <f t="shared" si="178"/>
        <v>10.484404328631452</v>
      </c>
      <c r="BA73" s="147">
        <f t="shared" si="152"/>
        <v>3.3279803794703455</v>
      </c>
      <c r="BB73" s="147">
        <f t="shared" si="153"/>
        <v>6.9106120051674047</v>
      </c>
      <c r="BC73" s="5">
        <f t="shared" si="154"/>
        <v>0.16941578315054817</v>
      </c>
      <c r="BD73" s="147">
        <f t="shared" si="155"/>
        <v>12.932850402957779</v>
      </c>
      <c r="BE73" s="5"/>
      <c r="BF73" s="153">
        <f t="shared" si="179"/>
        <v>0.13892123666598183</v>
      </c>
      <c r="BG73" s="153">
        <f t="shared" si="156"/>
        <v>0.16616608577687714</v>
      </c>
      <c r="BH73" s="153"/>
      <c r="BI73" s="463">
        <f t="shared" si="157"/>
        <v>6.754688498882006E-3</v>
      </c>
      <c r="BJ73" s="463">
        <f t="shared" si="158"/>
        <v>1.9904986007062933E-2</v>
      </c>
      <c r="BK73" s="463">
        <f t="shared" si="159"/>
        <v>4.3749999999999995E-3</v>
      </c>
      <c r="BL73" s="463">
        <f t="shared" si="160"/>
        <v>1.6087792E-2</v>
      </c>
      <c r="BM73">
        <f t="shared" si="161"/>
        <v>4.3499999999999997E-3</v>
      </c>
      <c r="BN73">
        <f t="shared" si="162"/>
        <v>8.7499999999999992E-6</v>
      </c>
      <c r="BO73" s="463">
        <f t="shared" si="163"/>
        <v>5.2458475305029284E-2</v>
      </c>
      <c r="BP73" s="147">
        <f t="shared" si="180"/>
        <v>52.458475305029282</v>
      </c>
      <c r="BQ73" s="463">
        <f t="shared" si="164"/>
        <v>4.707093239968009E-2</v>
      </c>
      <c r="BR73" s="463"/>
      <c r="BT73" s="147">
        <f t="shared" si="181"/>
        <v>47.070932399680089</v>
      </c>
      <c r="BU73" s="463">
        <f t="shared" si="165"/>
        <v>1.9299109996805733E-2</v>
      </c>
      <c r="BV73" s="463">
        <f t="shared" si="166"/>
        <v>2.761116806240849E-2</v>
      </c>
      <c r="BW73" s="463">
        <f t="shared" si="167"/>
        <v>0</v>
      </c>
      <c r="BX73" s="463">
        <f t="shared" si="168"/>
        <v>5.2737425610280365E-2</v>
      </c>
      <c r="BY73" s="463">
        <f t="shared" si="169"/>
        <v>2.4627895981087475E-2</v>
      </c>
      <c r="BZ73" s="147">
        <f t="shared" si="182"/>
        <v>77.365321591367845</v>
      </c>
      <c r="CA73" s="153">
        <f t="shared" si="183"/>
        <v>0.17689472929607722</v>
      </c>
      <c r="CB73" s="5">
        <f t="shared" si="184"/>
        <v>1.02</v>
      </c>
      <c r="CC73" s="153">
        <f t="shared" si="185"/>
        <v>0.85220527339099128</v>
      </c>
      <c r="CD73" s="5">
        <f t="shared" si="186"/>
        <v>85.220527339099135</v>
      </c>
      <c r="CG73" s="59">
        <f t="shared" si="170"/>
        <v>-50</v>
      </c>
      <c r="CH73">
        <f t="shared" si="171"/>
        <v>-50</v>
      </c>
    </row>
    <row r="74" spans="5:86" x14ac:dyDescent="0.25">
      <c r="E74" s="150">
        <v>69</v>
      </c>
      <c r="F74" s="191">
        <f t="shared" si="172"/>
        <v>6.8999999999999992E-2</v>
      </c>
      <c r="G74" s="191"/>
      <c r="H74" s="191">
        <f t="shared" si="120"/>
        <v>1.0349999999999999</v>
      </c>
      <c r="I74" s="472">
        <f t="shared" si="121"/>
        <v>15</v>
      </c>
      <c r="J74" s="152">
        <f t="shared" si="122"/>
        <v>15.32</v>
      </c>
      <c r="K74" s="386">
        <f t="shared" si="123"/>
        <v>30.32</v>
      </c>
      <c r="L74" s="386"/>
      <c r="M74" s="191">
        <f t="shared" si="124"/>
        <v>0.50527704485488123</v>
      </c>
      <c r="N74" s="152">
        <f t="shared" si="125"/>
        <v>2.5579650395778364</v>
      </c>
      <c r="O74" s="152">
        <f t="shared" si="173"/>
        <v>1.0349999999999999</v>
      </c>
      <c r="P74" s="191">
        <f t="shared" si="126"/>
        <v>0.17053100263852242</v>
      </c>
      <c r="Q74" s="191">
        <f t="shared" si="127"/>
        <v>15</v>
      </c>
      <c r="R74" s="191">
        <f t="shared" si="128"/>
        <v>0.18947889182058048</v>
      </c>
      <c r="S74" s="152">
        <f t="shared" si="129"/>
        <v>58.451237820827593</v>
      </c>
      <c r="T74" s="152">
        <f t="shared" si="130"/>
        <v>15</v>
      </c>
      <c r="U74" s="191">
        <f t="shared" si="131"/>
        <v>0.30346388163620541</v>
      </c>
      <c r="V74" s="191">
        <f t="shared" si="132"/>
        <v>0.95085349579344358</v>
      </c>
      <c r="W74" s="191">
        <f t="shared" si="133"/>
        <v>0.93099232616851513</v>
      </c>
      <c r="X74" s="175">
        <f t="shared" si="134"/>
        <v>350</v>
      </c>
      <c r="Y74" s="386">
        <f t="shared" si="174"/>
        <v>350</v>
      </c>
      <c r="AA74" s="191">
        <f t="shared" si="135"/>
        <v>0.46073894667618365</v>
      </c>
      <c r="AB74" s="153">
        <f t="shared" si="136"/>
        <v>1.4134941575574826</v>
      </c>
      <c r="AC74" s="153">
        <f t="shared" si="137"/>
        <v>0.11396906662504547</v>
      </c>
      <c r="AD74" s="153"/>
      <c r="AE74" s="153">
        <f t="shared" si="138"/>
        <v>0.46018276762402083</v>
      </c>
      <c r="AF74" s="317">
        <f t="shared" si="139"/>
        <v>1999.2056737588655</v>
      </c>
      <c r="AG74" s="463">
        <f t="shared" si="140"/>
        <v>1.2079797650130546E-2</v>
      </c>
      <c r="AI74" s="153">
        <f t="shared" si="141"/>
        <v>0.37788940878051924</v>
      </c>
      <c r="AJ74" s="153">
        <f t="shared" si="142"/>
        <v>0.37788940878051924</v>
      </c>
      <c r="AK74" s="153">
        <f t="shared" si="143"/>
        <v>1.351926272520346</v>
      </c>
      <c r="AM74" s="317">
        <f t="shared" si="144"/>
        <v>68.999999999999986</v>
      </c>
      <c r="AN74" s="147">
        <f t="shared" si="145"/>
        <v>350</v>
      </c>
      <c r="AP74">
        <f t="shared" si="146"/>
        <v>68.999999999999986</v>
      </c>
      <c r="AQ74">
        <f t="shared" si="147"/>
        <v>350</v>
      </c>
      <c r="AS74" s="5">
        <f t="shared" si="175"/>
        <v>2.8571428571428572</v>
      </c>
      <c r="AT74" s="5">
        <f t="shared" si="148"/>
        <v>1.1840534808456269</v>
      </c>
      <c r="AU74" s="5">
        <f t="shared" si="176"/>
        <v>1.6730893762972303</v>
      </c>
      <c r="AV74" s="5">
        <f t="shared" si="149"/>
        <v>1.1593212932561618</v>
      </c>
      <c r="AW74" s="153">
        <f t="shared" si="177"/>
        <v>0.41441871829596938</v>
      </c>
      <c r="AX74" s="153">
        <f t="shared" si="150"/>
        <v>1.1745333333333332</v>
      </c>
      <c r="AY74" s="153">
        <f t="shared" si="151"/>
        <v>0.11064248216803742</v>
      </c>
      <c r="AZ74" s="153">
        <f t="shared" si="178"/>
        <v>10.615572882299583</v>
      </c>
      <c r="BA74" s="147">
        <f t="shared" si="152"/>
        <v>3.3279803794703455</v>
      </c>
      <c r="BB74" s="147">
        <f t="shared" si="153"/>
        <v>7.1123156913066614</v>
      </c>
      <c r="BC74" s="5">
        <f t="shared" si="154"/>
        <v>0.17102691402149464</v>
      </c>
      <c r="BD74" s="147">
        <f t="shared" si="155"/>
        <v>13.057018551612098</v>
      </c>
      <c r="BE74" s="5"/>
      <c r="BF74" s="153">
        <f t="shared" si="179"/>
        <v>0.14045065672507287</v>
      </c>
      <c r="BG74" s="153">
        <f t="shared" si="156"/>
        <v>0.16695432942871694</v>
      </c>
      <c r="BH74" s="153"/>
      <c r="BI74" s="463">
        <f t="shared" si="157"/>
        <v>6.9042354410764895E-3</v>
      </c>
      <c r="BJ74" s="463">
        <f t="shared" si="158"/>
        <v>2.0050812029894352E-2</v>
      </c>
      <c r="BK74" s="463">
        <f t="shared" si="159"/>
        <v>4.3749999999999995E-3</v>
      </c>
      <c r="BL74" s="463">
        <f t="shared" si="160"/>
        <v>1.6087792E-2</v>
      </c>
      <c r="BM74">
        <f t="shared" si="161"/>
        <v>4.3499999999999997E-3</v>
      </c>
      <c r="BN74">
        <f t="shared" si="162"/>
        <v>8.7499999999999992E-6</v>
      </c>
      <c r="BO74" s="463">
        <f t="shared" si="163"/>
        <v>5.277588884193779E-2</v>
      </c>
      <c r="BP74" s="147">
        <f t="shared" si="180"/>
        <v>52.775888841937793</v>
      </c>
      <c r="BQ74" s="463">
        <f t="shared" si="164"/>
        <v>4.7653543559854294E-2</v>
      </c>
      <c r="BR74" s="463"/>
      <c r="BT74" s="147">
        <f t="shared" si="181"/>
        <v>47.653543559854292</v>
      </c>
      <c r="BU74" s="463">
        <f t="shared" si="165"/>
        <v>1.9726386974504257E-2</v>
      </c>
      <c r="BV74" s="463">
        <f t="shared" si="166"/>
        <v>2.7873748114992537E-2</v>
      </c>
      <c r="BW74" s="463">
        <f t="shared" si="167"/>
        <v>0</v>
      </c>
      <c r="BX74" s="463">
        <f t="shared" si="168"/>
        <v>5.3515940580321601E-2</v>
      </c>
      <c r="BY74" s="463">
        <f t="shared" si="169"/>
        <v>2.4990070921985817E-2</v>
      </c>
      <c r="BZ74" s="147">
        <f t="shared" si="182"/>
        <v>78.506011502307416</v>
      </c>
      <c r="CA74" s="153">
        <f t="shared" si="183"/>
        <v>0.17893544390409952</v>
      </c>
      <c r="CB74" s="5">
        <f t="shared" si="184"/>
        <v>1.0349999999999999</v>
      </c>
      <c r="CC74" s="153">
        <f t="shared" si="185"/>
        <v>0.85259888011125951</v>
      </c>
      <c r="CD74" s="5">
        <f t="shared" si="186"/>
        <v>85.259888011125952</v>
      </c>
      <c r="CG74" s="59">
        <f t="shared" si="170"/>
        <v>-50</v>
      </c>
      <c r="CH74">
        <f t="shared" si="171"/>
        <v>-50</v>
      </c>
    </row>
    <row r="75" spans="5:86" x14ac:dyDescent="0.25">
      <c r="E75" s="150">
        <v>70</v>
      </c>
      <c r="F75" s="191">
        <f t="shared" si="172"/>
        <v>6.9999999999999993E-2</v>
      </c>
      <c r="G75" s="191"/>
      <c r="H75" s="191">
        <f t="shared" si="120"/>
        <v>1.0499999999999998</v>
      </c>
      <c r="I75" s="472">
        <f t="shared" si="121"/>
        <v>15</v>
      </c>
      <c r="J75" s="152">
        <f t="shared" si="122"/>
        <v>15.32</v>
      </c>
      <c r="K75" s="386">
        <f t="shared" si="123"/>
        <v>30.32</v>
      </c>
      <c r="L75" s="386"/>
      <c r="M75" s="191">
        <f t="shared" si="124"/>
        <v>0.50527704485488123</v>
      </c>
      <c r="N75" s="152">
        <f t="shared" si="125"/>
        <v>2.5579650395778364</v>
      </c>
      <c r="O75" s="152">
        <f t="shared" si="173"/>
        <v>1.0499999999999998</v>
      </c>
      <c r="P75" s="191">
        <f t="shared" si="126"/>
        <v>0.17053100263852242</v>
      </c>
      <c r="Q75" s="191">
        <f t="shared" si="127"/>
        <v>15</v>
      </c>
      <c r="R75" s="191">
        <f t="shared" si="128"/>
        <v>0.18947889182058048</v>
      </c>
      <c r="S75" s="152">
        <f t="shared" si="129"/>
        <v>57.404582053519619</v>
      </c>
      <c r="T75" s="152">
        <f t="shared" si="130"/>
        <v>15</v>
      </c>
      <c r="U75" s="191">
        <f t="shared" si="131"/>
        <v>0.30786190890629533</v>
      </c>
      <c r="V75" s="191">
        <f t="shared" si="132"/>
        <v>0.96463398123972532</v>
      </c>
      <c r="W75" s="191">
        <f t="shared" si="133"/>
        <v>0.94448496857675457</v>
      </c>
      <c r="X75" s="175">
        <f t="shared" si="134"/>
        <v>350</v>
      </c>
      <c r="Y75" s="386">
        <f t="shared" si="174"/>
        <v>350</v>
      </c>
      <c r="AA75" s="191">
        <f t="shared" si="135"/>
        <v>0.46073894667618365</v>
      </c>
      <c r="AB75" s="153">
        <f t="shared" si="136"/>
        <v>1.4134941575574826</v>
      </c>
      <c r="AC75" s="153">
        <f t="shared" si="137"/>
        <v>0.11396906662504547</v>
      </c>
      <c r="AD75" s="153"/>
      <c r="AE75" s="153">
        <f t="shared" si="138"/>
        <v>0.46018276762402083</v>
      </c>
      <c r="AF75" s="317">
        <f t="shared" si="139"/>
        <v>2028.1796690307331</v>
      </c>
      <c r="AG75" s="463">
        <f t="shared" si="140"/>
        <v>1.2079797650130546E-2</v>
      </c>
      <c r="AI75" s="153">
        <f t="shared" si="141"/>
        <v>0.38061788759770349</v>
      </c>
      <c r="AJ75" s="153">
        <f t="shared" si="142"/>
        <v>0.38061788759770349</v>
      </c>
      <c r="AK75" s="153">
        <f t="shared" si="143"/>
        <v>1.353745258398469</v>
      </c>
      <c r="AM75" s="317">
        <f t="shared" si="144"/>
        <v>69.999999999999986</v>
      </c>
      <c r="AN75" s="147">
        <f t="shared" si="145"/>
        <v>350</v>
      </c>
      <c r="AP75">
        <f t="shared" si="146"/>
        <v>69.999999999999986</v>
      </c>
      <c r="AQ75">
        <f t="shared" si="147"/>
        <v>350</v>
      </c>
      <c r="AS75" s="5">
        <f t="shared" si="175"/>
        <v>2.8571428571428572</v>
      </c>
      <c r="AT75" s="5">
        <f t="shared" si="148"/>
        <v>1.1926027144728042</v>
      </c>
      <c r="AU75" s="5">
        <f t="shared" si="176"/>
        <v>1.664540142670053</v>
      </c>
      <c r="AV75" s="5">
        <f t="shared" si="149"/>
        <v>1.1676919528127978</v>
      </c>
      <c r="AW75" s="153">
        <f t="shared" si="177"/>
        <v>0.41741095006548146</v>
      </c>
      <c r="AX75" s="153">
        <f t="shared" si="150"/>
        <v>1.1915555555555553</v>
      </c>
      <c r="AY75" s="153">
        <f t="shared" si="151"/>
        <v>0.11087190676181471</v>
      </c>
      <c r="AZ75" s="153">
        <f t="shared" si="178"/>
        <v>10.7471368569079</v>
      </c>
      <c r="BA75" s="147">
        <f t="shared" si="152"/>
        <v>3.3279803794703455</v>
      </c>
      <c r="BB75" s="147">
        <f t="shared" si="153"/>
        <v>7.3169201611851813</v>
      </c>
      <c r="BC75" s="5">
        <f t="shared" si="154"/>
        <v>0.17261897775837584</v>
      </c>
      <c r="BD75" s="147">
        <f t="shared" si="155"/>
        <v>13.179756665211521</v>
      </c>
      <c r="BE75" s="5"/>
      <c r="BF75" s="153">
        <f t="shared" si="179"/>
        <v>0.14197454521628766</v>
      </c>
      <c r="BG75" s="153">
        <f t="shared" si="156"/>
        <v>0.16772960570634998</v>
      </c>
      <c r="BH75" s="153"/>
      <c r="BI75" s="463">
        <f t="shared" si="157"/>
        <v>7.0548700212800979E-3</v>
      </c>
      <c r="BJ75" s="463">
        <f t="shared" si="158"/>
        <v>2.0195585115934146E-2</v>
      </c>
      <c r="BK75" s="463">
        <f t="shared" si="159"/>
        <v>4.3749999999999995E-3</v>
      </c>
      <c r="BL75" s="463">
        <f t="shared" si="160"/>
        <v>1.6087792E-2</v>
      </c>
      <c r="BM75">
        <f t="shared" si="161"/>
        <v>4.3499999999999997E-3</v>
      </c>
      <c r="BN75">
        <f t="shared" si="162"/>
        <v>8.7499999999999992E-6</v>
      </c>
      <c r="BO75" s="463">
        <f t="shared" si="163"/>
        <v>5.3093512354470032E-2</v>
      </c>
      <c r="BP75" s="147">
        <f t="shared" si="180"/>
        <v>53.093512354470029</v>
      </c>
      <c r="BQ75" s="463">
        <f t="shared" si="164"/>
        <v>4.8233780561631433E-2</v>
      </c>
      <c r="BR75" s="463"/>
      <c r="BT75" s="147">
        <f t="shared" si="181"/>
        <v>48.233780561631434</v>
      </c>
      <c r="BU75" s="463">
        <f t="shared" si="165"/>
        <v>2.015677148937171E-2</v>
      </c>
      <c r="BV75" s="463">
        <f t="shared" si="166"/>
        <v>2.8133220630407633E-2</v>
      </c>
      <c r="BW75" s="463">
        <f t="shared" si="167"/>
        <v>0</v>
      </c>
      <c r="BX75" s="463">
        <f t="shared" si="168"/>
        <v>5.4294541813859939E-2</v>
      </c>
      <c r="BY75" s="463">
        <f t="shared" si="169"/>
        <v>2.5352245862884162E-2</v>
      </c>
      <c r="BZ75" s="147">
        <f t="shared" si="182"/>
        <v>79.646787676744097</v>
      </c>
      <c r="CA75" s="153">
        <f t="shared" si="183"/>
        <v>0.18097408059284553</v>
      </c>
      <c r="CB75" s="5">
        <f t="shared" si="184"/>
        <v>1.0499999999999998</v>
      </c>
      <c r="CC75" s="153">
        <f t="shared" si="185"/>
        <v>0.85298302909376678</v>
      </c>
      <c r="CD75" s="5">
        <f t="shared" si="186"/>
        <v>85.298302909376673</v>
      </c>
      <c r="CG75" s="59">
        <f t="shared" si="170"/>
        <v>-50</v>
      </c>
      <c r="CH75">
        <f t="shared" si="171"/>
        <v>-50</v>
      </c>
    </row>
    <row r="76" spans="5:86" x14ac:dyDescent="0.25">
      <c r="E76" s="150">
        <v>71</v>
      </c>
      <c r="F76" s="191">
        <f t="shared" si="172"/>
        <v>7.0999999999999994E-2</v>
      </c>
      <c r="G76" s="191"/>
      <c r="H76" s="191">
        <f t="shared" si="120"/>
        <v>1.0649999999999999</v>
      </c>
      <c r="I76" s="472">
        <f t="shared" si="121"/>
        <v>15</v>
      </c>
      <c r="J76" s="152">
        <f t="shared" si="122"/>
        <v>15.32</v>
      </c>
      <c r="K76" s="386">
        <f t="shared" si="123"/>
        <v>30.32</v>
      </c>
      <c r="L76" s="386"/>
      <c r="M76" s="191">
        <f t="shared" si="124"/>
        <v>0.50527704485488123</v>
      </c>
      <c r="N76" s="152">
        <f t="shared" si="125"/>
        <v>2.5579650395778364</v>
      </c>
      <c r="O76" s="152">
        <f t="shared" si="173"/>
        <v>1.0649999999999999</v>
      </c>
      <c r="P76" s="191">
        <f t="shared" si="126"/>
        <v>0.17053100263852242</v>
      </c>
      <c r="Q76" s="191">
        <f t="shared" si="127"/>
        <v>15</v>
      </c>
      <c r="R76" s="191">
        <f t="shared" si="128"/>
        <v>0.18947889182058048</v>
      </c>
      <c r="S76" s="152">
        <f t="shared" si="129"/>
        <v>56.387461846600758</v>
      </c>
      <c r="T76" s="152">
        <f t="shared" si="130"/>
        <v>15</v>
      </c>
      <c r="U76" s="191">
        <f t="shared" si="131"/>
        <v>0.31225993617638526</v>
      </c>
      <c r="V76" s="191">
        <f t="shared" si="132"/>
        <v>0.97841446668600707</v>
      </c>
      <c r="W76" s="191">
        <f t="shared" si="133"/>
        <v>0.95797761098499368</v>
      </c>
      <c r="X76" s="175">
        <f t="shared" si="134"/>
        <v>350</v>
      </c>
      <c r="Y76" s="386">
        <f t="shared" si="174"/>
        <v>350</v>
      </c>
      <c r="AA76" s="191">
        <f t="shared" si="135"/>
        <v>0.46073894667618365</v>
      </c>
      <c r="AB76" s="153">
        <f t="shared" si="136"/>
        <v>1.4134941575574826</v>
      </c>
      <c r="AC76" s="153">
        <f t="shared" si="137"/>
        <v>0.11396906662504547</v>
      </c>
      <c r="AD76" s="153"/>
      <c r="AE76" s="153">
        <f t="shared" si="138"/>
        <v>0.46018276762402083</v>
      </c>
      <c r="AF76" s="317">
        <f t="shared" si="139"/>
        <v>2057.1536643026006</v>
      </c>
      <c r="AG76" s="463">
        <f t="shared" si="140"/>
        <v>1.2079797650130546E-2</v>
      </c>
      <c r="AI76" s="153">
        <f t="shared" si="141"/>
        <v>0.38332694589630106</v>
      </c>
      <c r="AJ76" s="153">
        <f t="shared" si="142"/>
        <v>0.38332694589630106</v>
      </c>
      <c r="AK76" s="153">
        <f t="shared" si="143"/>
        <v>1.3555512972642008</v>
      </c>
      <c r="AM76" s="317">
        <f t="shared" si="144"/>
        <v>71</v>
      </c>
      <c r="AN76" s="147">
        <f t="shared" si="145"/>
        <v>350</v>
      </c>
      <c r="AP76">
        <f t="shared" si="146"/>
        <v>71</v>
      </c>
      <c r="AQ76">
        <f t="shared" si="147"/>
        <v>350</v>
      </c>
      <c r="AS76" s="5">
        <f t="shared" si="175"/>
        <v>2.8571428571428572</v>
      </c>
      <c r="AT76" s="5">
        <f t="shared" si="148"/>
        <v>1.2010910971417432</v>
      </c>
      <c r="AU76" s="5">
        <f t="shared" si="176"/>
        <v>1.656051760001114</v>
      </c>
      <c r="AV76" s="5">
        <f t="shared" si="149"/>
        <v>1.1760030324494875</v>
      </c>
      <c r="AW76" s="153">
        <f t="shared" si="177"/>
        <v>0.42038188399961013</v>
      </c>
      <c r="AX76" s="153">
        <f t="shared" si="150"/>
        <v>1.2085777777777775</v>
      </c>
      <c r="AY76" s="153">
        <f t="shared" si="151"/>
        <v>0.11109162109629871</v>
      </c>
      <c r="AZ76" s="153">
        <f t="shared" si="178"/>
        <v>10.879108305838237</v>
      </c>
      <c r="BA76" s="147">
        <f t="shared" si="152"/>
        <v>3.3279803794703455</v>
      </c>
      <c r="BB76" s="147">
        <f t="shared" si="153"/>
        <v>7.524425414802959</v>
      </c>
      <c r="BC76" s="5">
        <f t="shared" si="154"/>
        <v>0.174192111051969</v>
      </c>
      <c r="BD76" s="147">
        <f t="shared" si="155"/>
        <v>13.301074995564342</v>
      </c>
      <c r="BE76" s="5"/>
      <c r="BF76" s="153">
        <f t="shared" si="179"/>
        <v>0.14349300074818885</v>
      </c>
      <c r="BG76" s="153">
        <f t="shared" si="156"/>
        <v>0.16849215971772152</v>
      </c>
      <c r="BH76" s="153"/>
      <c r="BI76" s="463">
        <f t="shared" si="157"/>
        <v>7.2065844423019037E-3</v>
      </c>
      <c r="BJ76" s="463">
        <f t="shared" si="158"/>
        <v>2.0339327749257737E-2</v>
      </c>
      <c r="BK76" s="463">
        <f t="shared" si="159"/>
        <v>4.3749999999999995E-3</v>
      </c>
      <c r="BL76" s="463">
        <f t="shared" si="160"/>
        <v>1.6087792E-2</v>
      </c>
      <c r="BM76">
        <f t="shared" si="161"/>
        <v>4.3499999999999997E-3</v>
      </c>
      <c r="BN76">
        <f t="shared" si="162"/>
        <v>8.7499999999999992E-6</v>
      </c>
      <c r="BO76" s="463">
        <f t="shared" si="163"/>
        <v>5.341135962709994E-2</v>
      </c>
      <c r="BP76" s="147">
        <f t="shared" si="180"/>
        <v>53.411359627099941</v>
      </c>
      <c r="BQ76" s="463">
        <f t="shared" si="164"/>
        <v>4.8811660425165423E-2</v>
      </c>
      <c r="BR76" s="463"/>
      <c r="BT76" s="147">
        <f t="shared" si="181"/>
        <v>48.811660425165421</v>
      </c>
      <c r="BU76" s="463">
        <f t="shared" si="165"/>
        <v>2.0590241263719725E-2</v>
      </c>
      <c r="BV76" s="463">
        <f t="shared" si="166"/>
        <v>2.8389607886342181E-2</v>
      </c>
      <c r="BW76" s="463">
        <f t="shared" si="167"/>
        <v>0</v>
      </c>
      <c r="BX76" s="463">
        <f t="shared" si="168"/>
        <v>5.5073229325233876E-2</v>
      </c>
      <c r="BY76" s="463">
        <f t="shared" si="169"/>
        <v>2.5714420803782508E-2</v>
      </c>
      <c r="BZ76" s="147">
        <f t="shared" si="182"/>
        <v>80.787650129016384</v>
      </c>
      <c r="CA76" s="153">
        <f t="shared" si="183"/>
        <v>0.18301067018128173</v>
      </c>
      <c r="CB76" s="5">
        <f t="shared" si="184"/>
        <v>1.0649999999999999</v>
      </c>
      <c r="CC76" s="153">
        <f t="shared" si="185"/>
        <v>0.85335808855328277</v>
      </c>
      <c r="CD76" s="5">
        <f t="shared" si="186"/>
        <v>85.335808855328281</v>
      </c>
      <c r="CG76" s="59">
        <f t="shared" si="170"/>
        <v>-50</v>
      </c>
      <c r="CH76">
        <f t="shared" si="171"/>
        <v>-50</v>
      </c>
    </row>
    <row r="77" spans="5:86" x14ac:dyDescent="0.25">
      <c r="E77" s="150">
        <v>72</v>
      </c>
      <c r="F77" s="191">
        <f t="shared" si="172"/>
        <v>7.1999999999999995E-2</v>
      </c>
      <c r="G77" s="191"/>
      <c r="H77" s="191">
        <f t="shared" si="120"/>
        <v>1.0799999999999998</v>
      </c>
      <c r="I77" s="472">
        <f t="shared" si="121"/>
        <v>15</v>
      </c>
      <c r="J77" s="152">
        <f t="shared" si="122"/>
        <v>15.32</v>
      </c>
      <c r="K77" s="386">
        <f t="shared" si="123"/>
        <v>30.32</v>
      </c>
      <c r="L77" s="386"/>
      <c r="M77" s="191">
        <f t="shared" si="124"/>
        <v>0.50527704485488123</v>
      </c>
      <c r="N77" s="152">
        <f t="shared" si="125"/>
        <v>2.5579650395778364</v>
      </c>
      <c r="O77" s="152">
        <f t="shared" si="173"/>
        <v>1.0799999999999998</v>
      </c>
      <c r="P77" s="191">
        <f t="shared" si="126"/>
        <v>0.17053100263852242</v>
      </c>
      <c r="Q77" s="191">
        <f t="shared" si="127"/>
        <v>15</v>
      </c>
      <c r="R77" s="191">
        <f t="shared" si="128"/>
        <v>0.18947889182058048</v>
      </c>
      <c r="S77" s="152">
        <f t="shared" si="129"/>
        <v>55.39864710244445</v>
      </c>
      <c r="T77" s="152">
        <f t="shared" si="130"/>
        <v>15</v>
      </c>
      <c r="U77" s="191">
        <f t="shared" si="131"/>
        <v>0.31665796344647518</v>
      </c>
      <c r="V77" s="191">
        <f t="shared" si="132"/>
        <v>0.99219495213228892</v>
      </c>
      <c r="W77" s="191">
        <f t="shared" si="133"/>
        <v>0.97147025339323323</v>
      </c>
      <c r="X77" s="175">
        <f t="shared" si="134"/>
        <v>350</v>
      </c>
      <c r="Y77" s="386">
        <f t="shared" si="174"/>
        <v>350</v>
      </c>
      <c r="AA77" s="191">
        <f t="shared" si="135"/>
        <v>0.46073894667618365</v>
      </c>
      <c r="AB77" s="153">
        <f t="shared" si="136"/>
        <v>1.4134941575574826</v>
      </c>
      <c r="AC77" s="153">
        <f t="shared" si="137"/>
        <v>0.11396906662504547</v>
      </c>
      <c r="AD77" s="153"/>
      <c r="AE77" s="153">
        <f t="shared" si="138"/>
        <v>0.46018276762402083</v>
      </c>
      <c r="AF77" s="317">
        <f t="shared" si="139"/>
        <v>2086.1276595744685</v>
      </c>
      <c r="AG77" s="463">
        <f t="shared" si="140"/>
        <v>1.2079797650130546E-2</v>
      </c>
      <c r="AI77" s="153">
        <f t="shared" si="141"/>
        <v>0.38601699255477523</v>
      </c>
      <c r="AJ77" s="153">
        <f t="shared" si="142"/>
        <v>0.38601699255477523</v>
      </c>
      <c r="AK77" s="153">
        <f t="shared" si="143"/>
        <v>1.3573446617031835</v>
      </c>
      <c r="AM77" s="317">
        <f t="shared" si="144"/>
        <v>72</v>
      </c>
      <c r="AN77" s="147">
        <f t="shared" si="145"/>
        <v>350</v>
      </c>
      <c r="AP77">
        <f t="shared" si="146"/>
        <v>72</v>
      </c>
      <c r="AQ77">
        <f t="shared" si="147"/>
        <v>350</v>
      </c>
      <c r="AS77" s="5">
        <f t="shared" si="175"/>
        <v>2.8571428571428572</v>
      </c>
      <c r="AT77" s="5">
        <f t="shared" si="148"/>
        <v>1.2095199100049623</v>
      </c>
      <c r="AU77" s="5">
        <f t="shared" si="176"/>
        <v>1.6476229471378949</v>
      </c>
      <c r="AV77" s="5">
        <f t="shared" si="149"/>
        <v>1.1842557865583836</v>
      </c>
      <c r="AW77" s="153">
        <f t="shared" si="177"/>
        <v>0.42333196850173677</v>
      </c>
      <c r="AX77" s="153">
        <f t="shared" si="150"/>
        <v>1.2255999999999994</v>
      </c>
      <c r="AY77" s="153">
        <f t="shared" si="151"/>
        <v>0.11130182961072099</v>
      </c>
      <c r="AZ77" s="153">
        <f t="shared" si="178"/>
        <v>11.011499130666088</v>
      </c>
      <c r="BA77" s="147">
        <f t="shared" si="152"/>
        <v>3.3279803794703455</v>
      </c>
      <c r="BB77" s="147">
        <f t="shared" si="153"/>
        <v>7.7348314521599955</v>
      </c>
      <c r="BC77" s="5">
        <f t="shared" si="154"/>
        <v>0.17574644769470879</v>
      </c>
      <c r="BD77" s="147">
        <f t="shared" si="155"/>
        <v>13.42098357710316</v>
      </c>
      <c r="BE77" s="5"/>
      <c r="BF77" s="153">
        <f t="shared" si="179"/>
        <v>0.14500611880961473</v>
      </c>
      <c r="BG77" s="153">
        <f t="shared" si="156"/>
        <v>0.169242227851433</v>
      </c>
      <c r="BH77" s="153"/>
      <c r="BI77" s="463">
        <f t="shared" si="157"/>
        <v>7.3593710722798349E-3</v>
      </c>
      <c r="BJ77" s="463">
        <f t="shared" si="158"/>
        <v>2.0482061624956374E-2</v>
      </c>
      <c r="BK77" s="463">
        <f t="shared" si="159"/>
        <v>4.3749999999999995E-3</v>
      </c>
      <c r="BL77" s="463">
        <f t="shared" si="160"/>
        <v>1.6087792E-2</v>
      </c>
      <c r="BM77">
        <f t="shared" si="161"/>
        <v>4.3499999999999997E-3</v>
      </c>
      <c r="BN77">
        <f t="shared" si="162"/>
        <v>8.7499999999999992E-6</v>
      </c>
      <c r="BO77" s="463">
        <f t="shared" si="163"/>
        <v>5.3729443843766003E-2</v>
      </c>
      <c r="BP77" s="147">
        <f t="shared" si="180"/>
        <v>53.729443843766006</v>
      </c>
      <c r="BQ77" s="463">
        <f t="shared" si="164"/>
        <v>4.9387199809720901E-2</v>
      </c>
      <c r="BR77" s="463"/>
      <c r="BT77" s="147">
        <f t="shared" si="181"/>
        <v>49.387199809720904</v>
      </c>
      <c r="BU77" s="463">
        <f t="shared" si="165"/>
        <v>2.10267744922281E-2</v>
      </c>
      <c r="BV77" s="463">
        <f t="shared" si="166"/>
        <v>2.8642931688116366E-2</v>
      </c>
      <c r="BW77" s="463">
        <f t="shared" si="167"/>
        <v>0</v>
      </c>
      <c r="BX77" s="463">
        <f t="shared" si="168"/>
        <v>5.5852003128785042E-2</v>
      </c>
      <c r="BY77" s="463">
        <f t="shared" si="169"/>
        <v>2.6076595744680846E-2</v>
      </c>
      <c r="BZ77" s="147">
        <f t="shared" si="182"/>
        <v>81.928598873465887</v>
      </c>
      <c r="CA77" s="153">
        <f t="shared" si="183"/>
        <v>0.18504524252695281</v>
      </c>
      <c r="CB77" s="5">
        <f t="shared" si="184"/>
        <v>1.0799999999999998</v>
      </c>
      <c r="CC77" s="153">
        <f t="shared" si="185"/>
        <v>0.85372440739169031</v>
      </c>
      <c r="CD77" s="5">
        <f t="shared" si="186"/>
        <v>85.372440739169036</v>
      </c>
      <c r="CG77" s="59">
        <f t="shared" si="170"/>
        <v>-50</v>
      </c>
      <c r="CH77">
        <f t="shared" si="171"/>
        <v>-50</v>
      </c>
    </row>
    <row r="78" spans="5:86" x14ac:dyDescent="0.25">
      <c r="E78" s="150">
        <v>73</v>
      </c>
      <c r="F78" s="191">
        <f t="shared" si="172"/>
        <v>7.2999999999999995E-2</v>
      </c>
      <c r="G78" s="191"/>
      <c r="H78" s="191">
        <f t="shared" si="120"/>
        <v>1.095</v>
      </c>
      <c r="I78" s="472">
        <f t="shared" si="121"/>
        <v>15</v>
      </c>
      <c r="J78" s="152">
        <f t="shared" si="122"/>
        <v>15.32</v>
      </c>
      <c r="K78" s="386">
        <f t="shared" si="123"/>
        <v>30.32</v>
      </c>
      <c r="L78" s="386"/>
      <c r="M78" s="191">
        <f t="shared" si="124"/>
        <v>0.50527704485488123</v>
      </c>
      <c r="N78" s="152">
        <f t="shared" si="125"/>
        <v>2.5579650395778364</v>
      </c>
      <c r="O78" s="152">
        <f t="shared" si="173"/>
        <v>1.095</v>
      </c>
      <c r="P78" s="191">
        <f t="shared" si="126"/>
        <v>0.17053100263852242</v>
      </c>
      <c r="Q78" s="191">
        <f t="shared" si="127"/>
        <v>15</v>
      </c>
      <c r="R78" s="191">
        <f t="shared" si="128"/>
        <v>0.18947889182058048</v>
      </c>
      <c r="S78" s="152">
        <f t="shared" si="129"/>
        <v>54.436975133503992</v>
      </c>
      <c r="T78" s="152">
        <f t="shared" si="130"/>
        <v>15</v>
      </c>
      <c r="U78" s="191">
        <f t="shared" si="131"/>
        <v>0.32105599071656515</v>
      </c>
      <c r="V78" s="191">
        <f t="shared" si="132"/>
        <v>1.0059754375785706</v>
      </c>
      <c r="W78" s="191">
        <f t="shared" si="133"/>
        <v>0.98496289580147256</v>
      </c>
      <c r="X78" s="175">
        <f t="shared" si="134"/>
        <v>350</v>
      </c>
      <c r="Y78" s="386">
        <f t="shared" si="174"/>
        <v>350</v>
      </c>
      <c r="AA78" s="191">
        <f t="shared" si="135"/>
        <v>0.46073894667618365</v>
      </c>
      <c r="AB78" s="153">
        <f t="shared" si="136"/>
        <v>1.4134941575574826</v>
      </c>
      <c r="AC78" s="153">
        <f t="shared" si="137"/>
        <v>0.11396906662504547</v>
      </c>
      <c r="AD78" s="153"/>
      <c r="AE78" s="153">
        <f t="shared" si="138"/>
        <v>0.46018276762402083</v>
      </c>
      <c r="AF78" s="317">
        <f t="shared" si="139"/>
        <v>2115.1016548463363</v>
      </c>
      <c r="AG78" s="463">
        <f t="shared" si="140"/>
        <v>1.2079797650130546E-2</v>
      </c>
      <c r="AI78" s="153">
        <f t="shared" si="141"/>
        <v>0.38868842230233858</v>
      </c>
      <c r="AJ78" s="153">
        <f t="shared" si="142"/>
        <v>0.38868842230233858</v>
      </c>
      <c r="AK78" s="153">
        <f t="shared" si="143"/>
        <v>1.3591256148682258</v>
      </c>
      <c r="AM78" s="317">
        <f t="shared" si="144"/>
        <v>73</v>
      </c>
      <c r="AN78" s="147">
        <f t="shared" si="145"/>
        <v>350</v>
      </c>
      <c r="AP78">
        <f t="shared" si="146"/>
        <v>73</v>
      </c>
      <c r="AQ78">
        <f t="shared" si="147"/>
        <v>350</v>
      </c>
      <c r="AS78" s="5">
        <f t="shared" si="175"/>
        <v>2.8571428571428572</v>
      </c>
      <c r="AT78" s="5">
        <f t="shared" si="148"/>
        <v>1.2178903898806608</v>
      </c>
      <c r="AU78" s="5">
        <f t="shared" si="176"/>
        <v>1.6392524672621964</v>
      </c>
      <c r="AV78" s="5">
        <f t="shared" si="149"/>
        <v>1.1924514261233625</v>
      </c>
      <c r="AW78" s="153">
        <f t="shared" si="177"/>
        <v>0.42626163645823129</v>
      </c>
      <c r="AX78" s="153">
        <f t="shared" si="150"/>
        <v>1.2426222222222221</v>
      </c>
      <c r="AY78" s="153">
        <f t="shared" si="151"/>
        <v>0.11150272966968784</v>
      </c>
      <c r="AZ78" s="153">
        <f t="shared" si="178"/>
        <v>11.144321093334009</v>
      </c>
      <c r="BA78" s="147">
        <f t="shared" si="152"/>
        <v>3.3279803794703455</v>
      </c>
      <c r="BB78" s="147">
        <f t="shared" si="153"/>
        <v>7.9481382732562924</v>
      </c>
      <c r="BC78" s="5">
        <f t="shared" si="154"/>
        <v>0.17728211868168939</v>
      </c>
      <c r="BD78" s="147">
        <f t="shared" si="155"/>
        <v>13.539492234460036</v>
      </c>
      <c r="BE78" s="5"/>
      <c r="BF78" s="153">
        <f t="shared" si="179"/>
        <v>0.14651399191027326</v>
      </c>
      <c r="BG78" s="153">
        <f t="shared" si="156"/>
        <v>0.16998003819608765</v>
      </c>
      <c r="BH78" s="153"/>
      <c r="BI78" s="463">
        <f t="shared" si="157"/>
        <v>7.5132224389192655E-3</v>
      </c>
      <c r="BJ78" s="463">
        <f t="shared" si="158"/>
        <v>2.0623807687362085E-2</v>
      </c>
      <c r="BK78" s="463">
        <f t="shared" si="159"/>
        <v>4.3749999999999995E-3</v>
      </c>
      <c r="BL78" s="463">
        <f t="shared" si="160"/>
        <v>1.6087792E-2</v>
      </c>
      <c r="BM78">
        <f t="shared" si="161"/>
        <v>4.3499999999999997E-3</v>
      </c>
      <c r="BN78">
        <f t="shared" si="162"/>
        <v>8.7499999999999992E-6</v>
      </c>
      <c r="BO78" s="463">
        <f t="shared" si="163"/>
        <v>5.4047777619530842E-2</v>
      </c>
      <c r="BP78" s="147">
        <f t="shared" si="180"/>
        <v>54.047777619530841</v>
      </c>
      <c r="BQ78" s="463">
        <f t="shared" si="164"/>
        <v>4.9960415026249573E-2</v>
      </c>
      <c r="BR78" s="463"/>
      <c r="BT78" s="147">
        <f t="shared" si="181"/>
        <v>49.960415026249571</v>
      </c>
      <c r="BU78" s="463">
        <f t="shared" si="165"/>
        <v>2.1466349825483618E-2</v>
      </c>
      <c r="BV78" s="463">
        <f t="shared" si="166"/>
        <v>2.8893213385143415E-2</v>
      </c>
      <c r="BW78" s="463">
        <f t="shared" si="167"/>
        <v>0</v>
      </c>
      <c r="BX78" s="463">
        <f t="shared" si="168"/>
        <v>5.6630863238858256E-2</v>
      </c>
      <c r="BY78" s="463">
        <f t="shared" si="169"/>
        <v>2.6438770685579194E-2</v>
      </c>
      <c r="BZ78" s="147">
        <f t="shared" si="182"/>
        <v>83.069633924437454</v>
      </c>
      <c r="CA78" s="153">
        <f t="shared" si="183"/>
        <v>0.18707782657021788</v>
      </c>
      <c r="CB78" s="5">
        <f t="shared" si="184"/>
        <v>1.095</v>
      </c>
      <c r="CC78" s="153">
        <f t="shared" si="185"/>
        <v>0.85408231646070687</v>
      </c>
      <c r="CD78" s="5">
        <f t="shared" si="186"/>
        <v>85.408231646070689</v>
      </c>
      <c r="CG78" s="59">
        <f t="shared" si="170"/>
        <v>-50</v>
      </c>
      <c r="CH78">
        <f t="shared" si="171"/>
        <v>-50</v>
      </c>
    </row>
    <row r="79" spans="5:86" x14ac:dyDescent="0.25">
      <c r="E79" s="150">
        <v>74</v>
      </c>
      <c r="F79" s="191">
        <f t="shared" si="172"/>
        <v>7.3999999999999996E-2</v>
      </c>
      <c r="G79" s="191"/>
      <c r="H79" s="191">
        <f t="shared" si="120"/>
        <v>1.1099999999999999</v>
      </c>
      <c r="I79" s="472">
        <f t="shared" si="121"/>
        <v>15</v>
      </c>
      <c r="J79" s="152">
        <f t="shared" si="122"/>
        <v>15.32</v>
      </c>
      <c r="K79" s="386">
        <f t="shared" si="123"/>
        <v>30.32</v>
      </c>
      <c r="L79" s="386"/>
      <c r="M79" s="191">
        <f t="shared" si="124"/>
        <v>0.50527704485488123</v>
      </c>
      <c r="N79" s="152">
        <f t="shared" si="125"/>
        <v>2.5579650395778364</v>
      </c>
      <c r="O79" s="152">
        <f t="shared" si="173"/>
        <v>1.1099999999999999</v>
      </c>
      <c r="P79" s="191">
        <f t="shared" si="126"/>
        <v>0.17053100263852242</v>
      </c>
      <c r="Q79" s="191">
        <f t="shared" si="127"/>
        <v>15</v>
      </c>
      <c r="R79" s="191">
        <f t="shared" si="128"/>
        <v>0.18947889182058048</v>
      </c>
      <c r="S79" s="152">
        <f t="shared" si="129"/>
        <v>53.50134610769922</v>
      </c>
      <c r="T79" s="152">
        <f t="shared" si="130"/>
        <v>15</v>
      </c>
      <c r="U79" s="191">
        <f t="shared" si="131"/>
        <v>0.32545401798665508</v>
      </c>
      <c r="V79" s="191">
        <f t="shared" si="132"/>
        <v>1.0197559230248527</v>
      </c>
      <c r="W79" s="191">
        <f t="shared" si="133"/>
        <v>0.99845553820971189</v>
      </c>
      <c r="X79" s="175">
        <f t="shared" si="134"/>
        <v>350</v>
      </c>
      <c r="Y79" s="386">
        <f t="shared" si="174"/>
        <v>350</v>
      </c>
      <c r="AA79" s="191">
        <f t="shared" si="135"/>
        <v>0.46073894667618365</v>
      </c>
      <c r="AB79" s="153">
        <f t="shared" si="136"/>
        <v>1.4134941575574826</v>
      </c>
      <c r="AC79" s="153">
        <f t="shared" si="137"/>
        <v>0.11396906662504547</v>
      </c>
      <c r="AD79" s="153"/>
      <c r="AE79" s="153">
        <f t="shared" si="138"/>
        <v>0.46018276762402083</v>
      </c>
      <c r="AF79" s="317">
        <f t="shared" si="139"/>
        <v>2144.0756501182036</v>
      </c>
      <c r="AG79" s="463">
        <f t="shared" si="140"/>
        <v>1.2079797650130546E-2</v>
      </c>
      <c r="AI79" s="153">
        <f t="shared" si="141"/>
        <v>0.39134161639509896</v>
      </c>
      <c r="AJ79" s="153">
        <f t="shared" si="142"/>
        <v>0.39134161639509896</v>
      </c>
      <c r="AK79" s="153">
        <f t="shared" si="143"/>
        <v>1.360894410930066</v>
      </c>
      <c r="AM79" s="317">
        <f t="shared" si="144"/>
        <v>74</v>
      </c>
      <c r="AN79" s="147">
        <f t="shared" si="145"/>
        <v>350</v>
      </c>
      <c r="AP79">
        <f t="shared" si="146"/>
        <v>74</v>
      </c>
      <c r="AQ79">
        <f t="shared" si="147"/>
        <v>350</v>
      </c>
      <c r="AS79" s="5">
        <f t="shared" si="175"/>
        <v>2.8571428571428572</v>
      </c>
      <c r="AT79" s="5">
        <f t="shared" si="148"/>
        <v>1.2262037313713099</v>
      </c>
      <c r="AU79" s="5">
        <f t="shared" si="176"/>
        <v>1.6309391257715473</v>
      </c>
      <c r="AV79" s="5">
        <f t="shared" si="149"/>
        <v>1.2005911207943636</v>
      </c>
      <c r="AW79" s="153">
        <f t="shared" si="177"/>
        <v>0.42917130597995845</v>
      </c>
      <c r="AX79" s="153">
        <f t="shared" si="150"/>
        <v>1.2596444444444441</v>
      </c>
      <c r="AY79" s="153">
        <f t="shared" si="151"/>
        <v>0.11169451190125321</v>
      </c>
      <c r="AZ79" s="153">
        <f t="shared" si="178"/>
        <v>11.277585827655253</v>
      </c>
      <c r="BA79" s="147">
        <f t="shared" si="152"/>
        <v>3.3279803794703455</v>
      </c>
      <c r="BB79" s="147">
        <f t="shared" si="153"/>
        <v>8.1643458780918454</v>
      </c>
      <c r="BC79" s="5">
        <f t="shared" si="154"/>
        <v>0.17879925230680663</v>
      </c>
      <c r="BD79" s="147">
        <f t="shared" si="155"/>
        <v>13.656610589677165</v>
      </c>
      <c r="BE79" s="5"/>
      <c r="BF79" s="153">
        <f t="shared" si="179"/>
        <v>0.14801670971316344</v>
      </c>
      <c r="BG79" s="153">
        <f t="shared" si="156"/>
        <v>0.17070581093389497</v>
      </c>
      <c r="BH79" s="153"/>
      <c r="BI79" s="463">
        <f t="shared" si="157"/>
        <v>7.6681312240088114E-3</v>
      </c>
      <c r="BJ79" s="463">
        <f t="shared" si="158"/>
        <v>2.0764586165923953E-2</v>
      </c>
      <c r="BK79" s="463">
        <f t="shared" si="159"/>
        <v>4.3749999999999995E-3</v>
      </c>
      <c r="BL79" s="463">
        <f t="shared" si="160"/>
        <v>1.6087792E-2</v>
      </c>
      <c r="BM79">
        <f t="shared" si="161"/>
        <v>4.3499999999999997E-3</v>
      </c>
      <c r="BN79">
        <f t="shared" si="162"/>
        <v>8.7499999999999992E-6</v>
      </c>
      <c r="BO79" s="463">
        <f t="shared" si="163"/>
        <v>5.4366373030207936E-2</v>
      </c>
      <c r="BP79" s="147">
        <f t="shared" si="180"/>
        <v>54.366373030207939</v>
      </c>
      <c r="BQ79" s="463">
        <f t="shared" si="164"/>
        <v>5.0531322049361407E-2</v>
      </c>
      <c r="BR79" s="463"/>
      <c r="BT79" s="147">
        <f t="shared" si="181"/>
        <v>50.531322049361407</v>
      </c>
      <c r="BU79" s="463">
        <f t="shared" si="165"/>
        <v>2.1908946354310892E-2</v>
      </c>
      <c r="BV79" s="463">
        <f t="shared" si="166"/>
        <v>2.9140473886598697E-2</v>
      </c>
      <c r="BW79" s="463">
        <f t="shared" si="167"/>
        <v>0</v>
      </c>
      <c r="BX79" s="463">
        <f t="shared" si="168"/>
        <v>5.7409809669801484E-2</v>
      </c>
      <c r="BY79" s="463">
        <f t="shared" si="169"/>
        <v>2.680094562647754E-2</v>
      </c>
      <c r="BZ79" s="147">
        <f t="shared" si="182"/>
        <v>84.210755296279032</v>
      </c>
      <c r="CA79" s="153">
        <f t="shared" si="183"/>
        <v>0.18910845037584836</v>
      </c>
      <c r="CB79" s="5">
        <f t="shared" si="184"/>
        <v>1.1099999999999999</v>
      </c>
      <c r="CC79" s="153">
        <f t="shared" si="185"/>
        <v>0.85443212972624649</v>
      </c>
      <c r="CD79" s="5">
        <f t="shared" si="186"/>
        <v>85.44321297262465</v>
      </c>
      <c r="CG79" s="59">
        <f t="shared" si="170"/>
        <v>-50</v>
      </c>
      <c r="CH79">
        <f t="shared" si="171"/>
        <v>-50</v>
      </c>
    </row>
    <row r="80" spans="5:86" x14ac:dyDescent="0.25">
      <c r="E80" s="150">
        <v>75</v>
      </c>
      <c r="F80" s="191">
        <f t="shared" si="172"/>
        <v>7.5000000000000011E-2</v>
      </c>
      <c r="G80" s="191"/>
      <c r="H80" s="191">
        <f t="shared" si="120"/>
        <v>1.1250000000000002</v>
      </c>
      <c r="I80" s="472">
        <f t="shared" si="121"/>
        <v>15</v>
      </c>
      <c r="J80" s="152">
        <f t="shared" si="122"/>
        <v>15.32</v>
      </c>
      <c r="K80" s="386">
        <f t="shared" si="123"/>
        <v>30.32</v>
      </c>
      <c r="L80" s="386"/>
      <c r="M80" s="191">
        <f t="shared" si="124"/>
        <v>0.50527704485488123</v>
      </c>
      <c r="N80" s="152">
        <f t="shared" si="125"/>
        <v>2.5579650395778364</v>
      </c>
      <c r="O80" s="152">
        <f t="shared" si="173"/>
        <v>1.1250000000000002</v>
      </c>
      <c r="P80" s="191">
        <f t="shared" si="126"/>
        <v>0.17053100263852242</v>
      </c>
      <c r="Q80" s="191">
        <f t="shared" si="127"/>
        <v>15</v>
      </c>
      <c r="R80" s="191">
        <f t="shared" si="128"/>
        <v>0.18947889182058048</v>
      </c>
      <c r="S80" s="152">
        <f t="shared" si="129"/>
        <v>52.590718858174384</v>
      </c>
      <c r="T80" s="152">
        <f t="shared" si="130"/>
        <v>15</v>
      </c>
      <c r="U80" s="191">
        <f t="shared" si="131"/>
        <v>0.32985204525674511</v>
      </c>
      <c r="V80" s="191">
        <f t="shared" si="132"/>
        <v>1.0335364084711347</v>
      </c>
      <c r="W80" s="191">
        <f t="shared" si="133"/>
        <v>1.0119481806179518</v>
      </c>
      <c r="X80" s="175">
        <f t="shared" si="134"/>
        <v>350</v>
      </c>
      <c r="Y80" s="386">
        <f t="shared" si="174"/>
        <v>350</v>
      </c>
      <c r="AA80" s="191">
        <f t="shared" si="135"/>
        <v>0.46073894667618365</v>
      </c>
      <c r="AB80" s="153">
        <f t="shared" si="136"/>
        <v>1.4134941575574826</v>
      </c>
      <c r="AC80" s="153">
        <f t="shared" si="137"/>
        <v>0.11396906662504547</v>
      </c>
      <c r="AD80" s="153"/>
      <c r="AE80" s="153">
        <f t="shared" si="138"/>
        <v>0.46018276762402083</v>
      </c>
      <c r="AF80" s="317">
        <f t="shared" si="139"/>
        <v>2173.0496453900719</v>
      </c>
      <c r="AG80" s="463">
        <f t="shared" si="140"/>
        <v>1.2079797650130546E-2</v>
      </c>
      <c r="AI80" s="153">
        <f t="shared" si="141"/>
        <v>0.3939769432512219</v>
      </c>
      <c r="AJ80" s="153">
        <f t="shared" si="142"/>
        <v>0.3939769432512219</v>
      </c>
      <c r="AK80" s="153">
        <f t="shared" si="143"/>
        <v>1.3626512955008145</v>
      </c>
      <c r="AM80" s="317">
        <f t="shared" si="144"/>
        <v>75.000000000000014</v>
      </c>
      <c r="AN80" s="147">
        <f t="shared" si="145"/>
        <v>350</v>
      </c>
      <c r="AP80">
        <f t="shared" si="146"/>
        <v>75.000000000000014</v>
      </c>
      <c r="AQ80">
        <f t="shared" si="147"/>
        <v>350</v>
      </c>
      <c r="AS80" s="5">
        <f t="shared" si="175"/>
        <v>2.8571428571428572</v>
      </c>
      <c r="AT80" s="5">
        <f t="shared" si="148"/>
        <v>1.2344610888538283</v>
      </c>
      <c r="AU80" s="5">
        <f t="shared" si="176"/>
        <v>1.6226817682890289</v>
      </c>
      <c r="AV80" s="5">
        <f t="shared" si="149"/>
        <v>1.208676000835994</v>
      </c>
      <c r="AW80" s="153">
        <f t="shared" si="177"/>
        <v>0.4320613810988399</v>
      </c>
      <c r="AX80" s="153">
        <f t="shared" si="150"/>
        <v>1.2766666666666668</v>
      </c>
      <c r="AY80" s="153">
        <f t="shared" si="151"/>
        <v>0.11187736051449985</v>
      </c>
      <c r="AZ80" s="153">
        <f t="shared" si="178"/>
        <v>11.411304850199826</v>
      </c>
      <c r="BA80" s="147">
        <f t="shared" si="152"/>
        <v>3.3279803794703455</v>
      </c>
      <c r="BB80" s="147">
        <f t="shared" si="153"/>
        <v>8.3834542666666643</v>
      </c>
      <c r="BC80" s="5">
        <f t="shared" si="154"/>
        <v>0.18029797425433658</v>
      </c>
      <c r="BD80" s="147">
        <f t="shared" si="155"/>
        <v>13.772348069075244</v>
      </c>
      <c r="BE80" s="5"/>
      <c r="BF80" s="153">
        <f t="shared" si="179"/>
        <v>0.1495143591594035</v>
      </c>
      <c r="BG80" s="153">
        <f t="shared" si="156"/>
        <v>0.17141975871043882</v>
      </c>
      <c r="BH80" s="153"/>
      <c r="BI80" s="463">
        <f t="shared" si="157"/>
        <v>7.8240902581964873E-3</v>
      </c>
      <c r="BJ80" s="463">
        <f t="shared" si="158"/>
        <v>2.0904416608909831E-2</v>
      </c>
      <c r="BK80" s="463">
        <f t="shared" si="159"/>
        <v>4.3749999999999995E-3</v>
      </c>
      <c r="BL80" s="463">
        <f t="shared" si="160"/>
        <v>1.6087792E-2</v>
      </c>
      <c r="BM80">
        <f t="shared" si="161"/>
        <v>4.3499999999999997E-3</v>
      </c>
      <c r="BN80">
        <f t="shared" si="162"/>
        <v>8.7499999999999992E-6</v>
      </c>
      <c r="BO80" s="463">
        <f t="shared" si="163"/>
        <v>5.4685241640110606E-2</v>
      </c>
      <c r="BP80" s="147">
        <f t="shared" si="180"/>
        <v>54.685241640110604</v>
      </c>
      <c r="BQ80" s="463">
        <f t="shared" si="164"/>
        <v>5.1099936528727644E-2</v>
      </c>
      <c r="BR80" s="463"/>
      <c r="BT80" s="147">
        <f t="shared" si="181"/>
        <v>51.099936528727646</v>
      </c>
      <c r="BU80" s="463">
        <f t="shared" si="165"/>
        <v>2.2354543594847107E-2</v>
      </c>
      <c r="BV80" s="463">
        <f t="shared" si="166"/>
        <v>2.9384733676345066E-2</v>
      </c>
      <c r="BW80" s="463">
        <f t="shared" si="167"/>
        <v>0</v>
      </c>
      <c r="BX80" s="463">
        <f t="shared" si="168"/>
        <v>5.8188842435965976E-2</v>
      </c>
      <c r="BY80" s="463">
        <f t="shared" si="169"/>
        <v>2.7163120567375892E-2</v>
      </c>
      <c r="BZ80" s="147">
        <f t="shared" si="182"/>
        <v>85.351963003341865</v>
      </c>
      <c r="CA80" s="153">
        <f t="shared" si="183"/>
        <v>0.19113714117218011</v>
      </c>
      <c r="CB80" s="5">
        <f t="shared" si="184"/>
        <v>1.1250000000000002</v>
      </c>
      <c r="CC80" s="153">
        <f t="shared" si="185"/>
        <v>0.85477414534328144</v>
      </c>
      <c r="CD80" s="5">
        <f t="shared" si="186"/>
        <v>85.477414534328148</v>
      </c>
      <c r="CG80" s="59">
        <f t="shared" si="170"/>
        <v>-50</v>
      </c>
      <c r="CH80">
        <f t="shared" si="171"/>
        <v>-50</v>
      </c>
    </row>
    <row r="81" spans="5:86" x14ac:dyDescent="0.25">
      <c r="E81" s="150">
        <v>76</v>
      </c>
      <c r="F81" s="191">
        <f t="shared" si="172"/>
        <v>7.6000000000000012E-2</v>
      </c>
      <c r="G81" s="191"/>
      <c r="H81" s="191">
        <f t="shared" si="120"/>
        <v>1.1400000000000001</v>
      </c>
      <c r="I81" s="472">
        <f t="shared" si="121"/>
        <v>15</v>
      </c>
      <c r="J81" s="152">
        <f t="shared" si="122"/>
        <v>15.32</v>
      </c>
      <c r="K81" s="386">
        <f t="shared" si="123"/>
        <v>30.32</v>
      </c>
      <c r="L81" s="386"/>
      <c r="M81" s="191">
        <f t="shared" si="124"/>
        <v>0.50527704485488123</v>
      </c>
      <c r="N81" s="152">
        <f t="shared" si="125"/>
        <v>2.5579650395778364</v>
      </c>
      <c r="O81" s="152">
        <f t="shared" si="173"/>
        <v>1.1400000000000001</v>
      </c>
      <c r="P81" s="191">
        <f t="shared" si="126"/>
        <v>0.17053100263852242</v>
      </c>
      <c r="Q81" s="191">
        <f t="shared" si="127"/>
        <v>15</v>
      </c>
      <c r="R81" s="191">
        <f t="shared" si="128"/>
        <v>0.18947889182058048</v>
      </c>
      <c r="S81" s="152">
        <f t="shared" si="129"/>
        <v>51.704107023867103</v>
      </c>
      <c r="T81" s="152">
        <f t="shared" si="130"/>
        <v>15</v>
      </c>
      <c r="U81" s="191">
        <f t="shared" si="131"/>
        <v>0.33425007252683497</v>
      </c>
      <c r="V81" s="191">
        <f t="shared" si="132"/>
        <v>1.0473168939174162</v>
      </c>
      <c r="W81" s="191">
        <f t="shared" si="133"/>
        <v>1.0254408230261909</v>
      </c>
      <c r="X81" s="175">
        <f t="shared" si="134"/>
        <v>350</v>
      </c>
      <c r="Y81" s="386">
        <f t="shared" si="174"/>
        <v>350</v>
      </c>
      <c r="AA81" s="191">
        <f t="shared" si="135"/>
        <v>0.46073894667618365</v>
      </c>
      <c r="AB81" s="153">
        <f t="shared" si="136"/>
        <v>1.4134941575574826</v>
      </c>
      <c r="AC81" s="153">
        <f t="shared" si="137"/>
        <v>0.11396906662504547</v>
      </c>
      <c r="AD81" s="153"/>
      <c r="AE81" s="153">
        <f t="shared" si="138"/>
        <v>0.46018276762402083</v>
      </c>
      <c r="AF81" s="317">
        <f t="shared" si="139"/>
        <v>2202.0236406619397</v>
      </c>
      <c r="AG81" s="463">
        <f t="shared" si="140"/>
        <v>1.2079797650130546E-2</v>
      </c>
      <c r="AI81" s="153">
        <f t="shared" si="141"/>
        <v>0.39659475904810465</v>
      </c>
      <c r="AJ81" s="153">
        <f t="shared" si="142"/>
        <v>0.39659475904810465</v>
      </c>
      <c r="AK81" s="153">
        <f t="shared" si="143"/>
        <v>1.3643965060320697</v>
      </c>
      <c r="AM81" s="317">
        <f t="shared" si="144"/>
        <v>76.000000000000014</v>
      </c>
      <c r="AN81" s="147">
        <f t="shared" si="145"/>
        <v>350</v>
      </c>
      <c r="AP81">
        <f t="shared" si="146"/>
        <v>76.000000000000014</v>
      </c>
      <c r="AQ81">
        <f t="shared" si="147"/>
        <v>350</v>
      </c>
      <c r="AS81" s="5">
        <f t="shared" si="175"/>
        <v>2.8571428571428572</v>
      </c>
      <c r="AT81" s="5">
        <f t="shared" si="148"/>
        <v>1.2426635783507278</v>
      </c>
      <c r="AU81" s="5">
        <f t="shared" si="176"/>
        <v>1.6144792787921294</v>
      </c>
      <c r="AV81" s="5">
        <f t="shared" si="149"/>
        <v>1.2167071589595897</v>
      </c>
      <c r="AW81" s="153">
        <f t="shared" si="177"/>
        <v>0.43493225242275474</v>
      </c>
      <c r="AX81" s="153">
        <f t="shared" si="150"/>
        <v>1.2936888888888891</v>
      </c>
      <c r="AY81" s="153">
        <f t="shared" si="151"/>
        <v>0.11205145359812639</v>
      </c>
      <c r="AZ81" s="153">
        <f t="shared" si="178"/>
        <v>11.545489570610272</v>
      </c>
      <c r="BA81" s="147">
        <f t="shared" si="152"/>
        <v>3.3279803794703455</v>
      </c>
      <c r="BB81" s="147">
        <f t="shared" si="153"/>
        <v>8.6054634389807383</v>
      </c>
      <c r="BC81" s="5">
        <f t="shared" si="154"/>
        <v>0.18177840768622497</v>
      </c>
      <c r="BD81" s="147">
        <f t="shared" si="155"/>
        <v>13.886713909800203</v>
      </c>
      <c r="BE81" s="5"/>
      <c r="BF81" s="153">
        <f t="shared" si="179"/>
        <v>0.15100702458599574</v>
      </c>
      <c r="BG81" s="153">
        <f t="shared" si="156"/>
        <v>0.17212208698234868</v>
      </c>
      <c r="BH81" s="153"/>
      <c r="BI81" s="463">
        <f t="shared" si="157"/>
        <v>7.9810925160104327E-3</v>
      </c>
      <c r="BJ81" s="463">
        <f t="shared" si="158"/>
        <v>2.1043317915092438E-2</v>
      </c>
      <c r="BK81" s="463">
        <f t="shared" si="159"/>
        <v>4.3749999999999995E-3</v>
      </c>
      <c r="BL81" s="463">
        <f t="shared" si="160"/>
        <v>1.6087792E-2</v>
      </c>
      <c r="BM81">
        <f t="shared" si="161"/>
        <v>4.3499999999999997E-3</v>
      </c>
      <c r="BN81">
        <f t="shared" si="162"/>
        <v>8.7499999999999992E-6</v>
      </c>
      <c r="BO81" s="463">
        <f t="shared" si="163"/>
        <v>5.500439452806391E-2</v>
      </c>
      <c r="BP81" s="147">
        <f t="shared" si="180"/>
        <v>55.004394528063912</v>
      </c>
      <c r="BQ81" s="463">
        <f t="shared" si="164"/>
        <v>5.166627379994964E-2</v>
      </c>
      <c r="BR81" s="463"/>
      <c r="BT81" s="147">
        <f t="shared" si="181"/>
        <v>51.666273799949643</v>
      </c>
      <c r="BU81" s="463">
        <f t="shared" si="165"/>
        <v>2.2803121474315523E-2</v>
      </c>
      <c r="BV81" s="463">
        <f t="shared" si="166"/>
        <v>2.9626012827159206E-2</v>
      </c>
      <c r="BW81" s="463">
        <f t="shared" si="167"/>
        <v>0</v>
      </c>
      <c r="BX81" s="463">
        <f t="shared" si="168"/>
        <v>5.8967961551705993E-2</v>
      </c>
      <c r="BY81" s="463">
        <f t="shared" si="169"/>
        <v>2.7525295508274237E-2</v>
      </c>
      <c r="BZ81" s="147">
        <f t="shared" si="182"/>
        <v>86.493257059980237</v>
      </c>
      <c r="CA81" s="153">
        <f t="shared" si="183"/>
        <v>0.19316392538799379</v>
      </c>
      <c r="CB81" s="5">
        <f t="shared" si="184"/>
        <v>1.1400000000000001</v>
      </c>
      <c r="CC81" s="153">
        <f t="shared" si="185"/>
        <v>0.8551086466491532</v>
      </c>
      <c r="CD81" s="5">
        <f t="shared" si="186"/>
        <v>85.510864664915317</v>
      </c>
      <c r="CG81" s="59">
        <f t="shared" si="170"/>
        <v>-50</v>
      </c>
      <c r="CH81">
        <f t="shared" si="171"/>
        <v>-50</v>
      </c>
    </row>
    <row r="82" spans="5:86" x14ac:dyDescent="0.25">
      <c r="E82" s="150">
        <v>77</v>
      </c>
      <c r="F82" s="191">
        <f t="shared" si="172"/>
        <v>7.7000000000000013E-2</v>
      </c>
      <c r="G82" s="191"/>
      <c r="H82" s="191">
        <f t="shared" si="120"/>
        <v>1.1550000000000002</v>
      </c>
      <c r="I82" s="472">
        <f t="shared" si="121"/>
        <v>15</v>
      </c>
      <c r="J82" s="152">
        <f t="shared" si="122"/>
        <v>15.32</v>
      </c>
      <c r="K82" s="386">
        <f t="shared" si="123"/>
        <v>30.32</v>
      </c>
      <c r="L82" s="386"/>
      <c r="M82" s="191">
        <f t="shared" si="124"/>
        <v>0.50527704485488123</v>
      </c>
      <c r="N82" s="152">
        <f t="shared" si="125"/>
        <v>2.5579650395778364</v>
      </c>
      <c r="O82" s="152">
        <f t="shared" si="173"/>
        <v>1.1550000000000002</v>
      </c>
      <c r="P82" s="191">
        <f t="shared" si="126"/>
        <v>0.17053100263852242</v>
      </c>
      <c r="Q82" s="191">
        <f t="shared" si="127"/>
        <v>15</v>
      </c>
      <c r="R82" s="191">
        <f t="shared" si="128"/>
        <v>0.18947889182058048</v>
      </c>
      <c r="S82" s="152">
        <f t="shared" si="129"/>
        <v>50.840575490814238</v>
      </c>
      <c r="T82" s="152">
        <f t="shared" si="130"/>
        <v>15</v>
      </c>
      <c r="U82" s="191">
        <f t="shared" si="131"/>
        <v>0.33864809979692495</v>
      </c>
      <c r="V82" s="191">
        <f t="shared" si="132"/>
        <v>1.0610973793636982</v>
      </c>
      <c r="W82" s="191">
        <f t="shared" si="133"/>
        <v>1.0389334654344302</v>
      </c>
      <c r="X82" s="175">
        <f t="shared" si="134"/>
        <v>350</v>
      </c>
      <c r="Y82" s="386">
        <f t="shared" si="174"/>
        <v>350</v>
      </c>
      <c r="AA82" s="191">
        <f t="shared" si="135"/>
        <v>0.46073894667618365</v>
      </c>
      <c r="AB82" s="153">
        <f t="shared" si="136"/>
        <v>1.4134941575574826</v>
      </c>
      <c r="AC82" s="153">
        <f t="shared" si="137"/>
        <v>0.11396906662504547</v>
      </c>
      <c r="AD82" s="153"/>
      <c r="AE82" s="153">
        <f t="shared" si="138"/>
        <v>0.46018276762402083</v>
      </c>
      <c r="AF82" s="317">
        <f t="shared" si="139"/>
        <v>2230.997635933807</v>
      </c>
      <c r="AG82" s="463">
        <f t="shared" si="140"/>
        <v>1.2079797650130546E-2</v>
      </c>
      <c r="AI82" s="153">
        <f t="shared" si="141"/>
        <v>0.39919540828430367</v>
      </c>
      <c r="AJ82" s="153">
        <f t="shared" si="142"/>
        <v>0.39919540828430367</v>
      </c>
      <c r="AK82" s="153">
        <f t="shared" si="143"/>
        <v>1.3661302721895359</v>
      </c>
      <c r="AM82" s="317">
        <f t="shared" si="144"/>
        <v>77.000000000000014</v>
      </c>
      <c r="AN82" s="147">
        <f t="shared" si="145"/>
        <v>350</v>
      </c>
      <c r="AP82">
        <f t="shared" si="146"/>
        <v>77.000000000000014</v>
      </c>
      <c r="AQ82">
        <f t="shared" si="147"/>
        <v>350</v>
      </c>
      <c r="AS82" s="5">
        <f t="shared" si="175"/>
        <v>2.8571428571428572</v>
      </c>
      <c r="AT82" s="5">
        <f t="shared" si="148"/>
        <v>1.2508122792908181</v>
      </c>
      <c r="AU82" s="5">
        <f t="shared" si="176"/>
        <v>1.6063305778520391</v>
      </c>
      <c r="AV82" s="5">
        <f t="shared" si="149"/>
        <v>1.2246856520471456</v>
      </c>
      <c r="AW82" s="153">
        <f t="shared" si="177"/>
        <v>0.43778429775178629</v>
      </c>
      <c r="AX82" s="153">
        <f t="shared" si="150"/>
        <v>1.3107111111111112</v>
      </c>
      <c r="AY82" s="153">
        <f t="shared" si="151"/>
        <v>0.11221696340141109</v>
      </c>
      <c r="AZ82" s="153">
        <f t="shared" si="178"/>
        <v>11.680151301390762</v>
      </c>
      <c r="BA82" s="147">
        <f t="shared" si="152"/>
        <v>3.3279803794703455</v>
      </c>
      <c r="BB82" s="147">
        <f t="shared" si="153"/>
        <v>8.8303733950340728</v>
      </c>
      <c r="BC82" s="5">
        <f t="shared" si="154"/>
        <v>0.18324067332534377</v>
      </c>
      <c r="BD82" s="147">
        <f t="shared" si="155"/>
        <v>13.999717166067448</v>
      </c>
      <c r="BE82" s="5"/>
      <c r="BF82" s="153">
        <f t="shared" si="179"/>
        <v>0.15249478783701623</v>
      </c>
      <c r="BG82" s="153">
        <f t="shared" si="156"/>
        <v>0.17281299434446679</v>
      </c>
      <c r="BH82" s="153"/>
      <c r="BI82" s="463">
        <f t="shared" si="157"/>
        <v>8.1391311111098062E-3</v>
      </c>
      <c r="BJ82" s="463">
        <f t="shared" si="158"/>
        <v>2.118130836356515E-2</v>
      </c>
      <c r="BK82" s="463">
        <f t="shared" si="159"/>
        <v>4.3749999999999995E-3</v>
      </c>
      <c r="BL82" s="463">
        <f t="shared" si="160"/>
        <v>1.6087792E-2</v>
      </c>
      <c r="BM82">
        <f t="shared" si="161"/>
        <v>4.3499999999999997E-3</v>
      </c>
      <c r="BN82">
        <f t="shared" si="162"/>
        <v>8.7499999999999992E-6</v>
      </c>
      <c r="BO82" s="463">
        <f t="shared" si="163"/>
        <v>5.5323842311808757E-2</v>
      </c>
      <c r="BP82" s="147">
        <f t="shared" si="180"/>
        <v>55.323842311808761</v>
      </c>
      <c r="BQ82" s="463">
        <f t="shared" si="164"/>
        <v>5.2230348894925747E-2</v>
      </c>
      <c r="BR82" s="463"/>
      <c r="BT82" s="147">
        <f t="shared" si="181"/>
        <v>52.230348894925747</v>
      </c>
      <c r="BU82" s="463">
        <f t="shared" si="165"/>
        <v>2.3254660317456592E-2</v>
      </c>
      <c r="BV82" s="463">
        <f t="shared" si="166"/>
        <v>2.9864331014300711E-2</v>
      </c>
      <c r="BW82" s="463">
        <f t="shared" si="167"/>
        <v>0</v>
      </c>
      <c r="BX82" s="463">
        <f t="shared" si="168"/>
        <v>5.9747167031379139E-2</v>
      </c>
      <c r="BY82" s="463">
        <f t="shared" si="169"/>
        <v>2.7887470449172592E-2</v>
      </c>
      <c r="BZ82" s="147">
        <f t="shared" si="182"/>
        <v>87.634637480551731</v>
      </c>
      <c r="CA82" s="153">
        <f t="shared" si="183"/>
        <v>0.19518882868728624</v>
      </c>
      <c r="CB82" s="5">
        <f t="shared" si="184"/>
        <v>1.1550000000000002</v>
      </c>
      <c r="CC82" s="153">
        <f t="shared" si="185"/>
        <v>0.8554359030824914</v>
      </c>
      <c r="CD82" s="5">
        <f t="shared" si="186"/>
        <v>85.543590308249136</v>
      </c>
      <c r="CG82" s="59">
        <f t="shared" si="170"/>
        <v>-50</v>
      </c>
      <c r="CH82">
        <f t="shared" si="171"/>
        <v>-50</v>
      </c>
    </row>
    <row r="83" spans="5:86" x14ac:dyDescent="0.25">
      <c r="E83" s="150">
        <v>78</v>
      </c>
      <c r="F83" s="191">
        <f t="shared" si="172"/>
        <v>7.8000000000000014E-2</v>
      </c>
      <c r="G83" s="191"/>
      <c r="H83" s="191">
        <f t="shared" si="120"/>
        <v>1.1700000000000002</v>
      </c>
      <c r="I83" s="472">
        <f t="shared" si="121"/>
        <v>15</v>
      </c>
      <c r="J83" s="152">
        <f t="shared" si="122"/>
        <v>15.32</v>
      </c>
      <c r="K83" s="386">
        <f t="shared" si="123"/>
        <v>30.32</v>
      </c>
      <c r="L83" s="386"/>
      <c r="M83" s="191">
        <f t="shared" si="124"/>
        <v>0.50527704485488123</v>
      </c>
      <c r="N83" s="152">
        <f t="shared" si="125"/>
        <v>2.5579650395778364</v>
      </c>
      <c r="O83" s="152">
        <f t="shared" si="173"/>
        <v>1.1700000000000002</v>
      </c>
      <c r="P83" s="191">
        <f t="shared" si="126"/>
        <v>0.17053100263852242</v>
      </c>
      <c r="Q83" s="191">
        <f t="shared" si="127"/>
        <v>15</v>
      </c>
      <c r="R83" s="191">
        <f t="shared" si="128"/>
        <v>0.18947889182058048</v>
      </c>
      <c r="S83" s="152">
        <f t="shared" si="129"/>
        <v>49.999237107206056</v>
      </c>
      <c r="T83" s="152">
        <f t="shared" si="130"/>
        <v>15</v>
      </c>
      <c r="U83" s="191">
        <f t="shared" si="131"/>
        <v>0.34304612706701487</v>
      </c>
      <c r="V83" s="191">
        <f t="shared" si="132"/>
        <v>1.0748778648099797</v>
      </c>
      <c r="W83" s="191">
        <f t="shared" si="133"/>
        <v>1.0524261078426695</v>
      </c>
      <c r="X83" s="175">
        <f t="shared" si="134"/>
        <v>350</v>
      </c>
      <c r="Y83" s="386">
        <f t="shared" si="174"/>
        <v>350</v>
      </c>
      <c r="AA83" s="191">
        <f t="shared" si="135"/>
        <v>0.46073894667618365</v>
      </c>
      <c r="AB83" s="153">
        <f t="shared" si="136"/>
        <v>1.4134941575574826</v>
      </c>
      <c r="AC83" s="153">
        <f t="shared" si="137"/>
        <v>0.11396906662504547</v>
      </c>
      <c r="AD83" s="153"/>
      <c r="AE83" s="153">
        <f t="shared" si="138"/>
        <v>0.46018276762402083</v>
      </c>
      <c r="AF83" s="317">
        <f t="shared" si="139"/>
        <v>2259.9716312056748</v>
      </c>
      <c r="AG83" s="463">
        <f t="shared" si="140"/>
        <v>1.2079797650130546E-2</v>
      </c>
      <c r="AI83" s="153">
        <f t="shared" si="141"/>
        <v>0.40177922430872354</v>
      </c>
      <c r="AJ83" s="153">
        <f t="shared" si="142"/>
        <v>0.40177922430872354</v>
      </c>
      <c r="AK83" s="153">
        <f t="shared" si="143"/>
        <v>1.3678528162058157</v>
      </c>
      <c r="AM83" s="317">
        <f t="shared" si="144"/>
        <v>78.000000000000014</v>
      </c>
      <c r="AN83" s="147">
        <f t="shared" si="145"/>
        <v>350</v>
      </c>
      <c r="AP83">
        <f t="shared" si="146"/>
        <v>78.000000000000014</v>
      </c>
      <c r="AQ83">
        <f t="shared" si="147"/>
        <v>350</v>
      </c>
      <c r="AS83" s="5">
        <f t="shared" si="175"/>
        <v>2.8571428571428572</v>
      </c>
      <c r="AT83" s="5">
        <f t="shared" si="148"/>
        <v>1.2589082361673338</v>
      </c>
      <c r="AU83" s="5">
        <f t="shared" si="176"/>
        <v>1.5982346209755234</v>
      </c>
      <c r="AV83" s="5">
        <f t="shared" si="149"/>
        <v>1.2326125027748047</v>
      </c>
      <c r="AW83" s="153">
        <f t="shared" si="177"/>
        <v>0.44061788265856683</v>
      </c>
      <c r="AX83" s="153">
        <f t="shared" si="150"/>
        <v>1.3277333333333337</v>
      </c>
      <c r="AY83" s="153">
        <f t="shared" si="151"/>
        <v>0.1123740565988062</v>
      </c>
      <c r="AZ83" s="153">
        <f t="shared" si="178"/>
        <v>11.815301267209382</v>
      </c>
      <c r="BA83" s="147">
        <f t="shared" si="152"/>
        <v>3.3279803794703455</v>
      </c>
      <c r="BB83" s="147">
        <f t="shared" si="153"/>
        <v>9.0581841348266643</v>
      </c>
      <c r="BC83" s="5">
        <f t="shared" si="154"/>
        <v>0.18468488953494935</v>
      </c>
      <c r="BD83" s="147">
        <f t="shared" si="155"/>
        <v>14.111366715121205</v>
      </c>
      <c r="BE83" s="5"/>
      <c r="BF83" s="153">
        <f t="shared" si="179"/>
        <v>0.1539777283686764</v>
      </c>
      <c r="BG83" s="153">
        <f t="shared" si="156"/>
        <v>0.17349267283796732</v>
      </c>
      <c r="BH83" s="153"/>
      <c r="BI83" s="463">
        <f t="shared" si="157"/>
        <v>8.2981992917522621E-3</v>
      </c>
      <c r="BJ83" s="463">
        <f t="shared" si="158"/>
        <v>2.1318405641820869E-2</v>
      </c>
      <c r="BK83" s="463">
        <f t="shared" si="159"/>
        <v>4.3749999999999995E-3</v>
      </c>
      <c r="BL83" s="463">
        <f t="shared" si="160"/>
        <v>1.6087792E-2</v>
      </c>
      <c r="BM83">
        <f t="shared" si="161"/>
        <v>4.3499999999999997E-3</v>
      </c>
      <c r="BN83">
        <f t="shared" si="162"/>
        <v>8.7499999999999992E-6</v>
      </c>
      <c r="BO83" s="463">
        <f t="shared" si="163"/>
        <v>5.5643595170915668E-2</v>
      </c>
      <c r="BP83" s="147">
        <f t="shared" si="180"/>
        <v>55.643595170915667</v>
      </c>
      <c r="BQ83" s="463">
        <f t="shared" si="164"/>
        <v>5.2792176551744951E-2</v>
      </c>
      <c r="BR83" s="463"/>
      <c r="BT83" s="147">
        <f t="shared" si="181"/>
        <v>52.792176551744951</v>
      </c>
      <c r="BU83" s="463">
        <f t="shared" si="165"/>
        <v>2.3709140833577894E-2</v>
      </c>
      <c r="BV83" s="463">
        <f t="shared" si="166"/>
        <v>3.0099707528461965E-2</v>
      </c>
      <c r="BW83" s="463">
        <f t="shared" si="167"/>
        <v>0</v>
      </c>
      <c r="BX83" s="463">
        <f t="shared" si="168"/>
        <v>6.0526458889346095E-2</v>
      </c>
      <c r="BY83" s="463">
        <f t="shared" si="169"/>
        <v>2.8249645390070931E-2</v>
      </c>
      <c r="BZ83" s="147">
        <f t="shared" si="182"/>
        <v>88.776104279417027</v>
      </c>
      <c r="CA83" s="153">
        <f t="shared" si="183"/>
        <v>0.19721187600207765</v>
      </c>
      <c r="CB83" s="5">
        <f t="shared" si="184"/>
        <v>1.1700000000000002</v>
      </c>
      <c r="CC83" s="153">
        <f t="shared" si="185"/>
        <v>0.855756171034183</v>
      </c>
      <c r="CD83" s="5">
        <f t="shared" si="186"/>
        <v>85.575617103418296</v>
      </c>
      <c r="CG83" s="59">
        <f t="shared" si="170"/>
        <v>-50</v>
      </c>
      <c r="CH83">
        <f t="shared" si="171"/>
        <v>-50</v>
      </c>
    </row>
    <row r="84" spans="5:86" x14ac:dyDescent="0.25">
      <c r="E84" s="150">
        <v>79</v>
      </c>
      <c r="F84" s="191">
        <f t="shared" si="172"/>
        <v>7.9000000000000015E-2</v>
      </c>
      <c r="G84" s="191"/>
      <c r="H84" s="191">
        <f t="shared" si="120"/>
        <v>1.1850000000000003</v>
      </c>
      <c r="I84" s="472">
        <f t="shared" si="121"/>
        <v>15</v>
      </c>
      <c r="J84" s="152">
        <f t="shared" si="122"/>
        <v>15.32</v>
      </c>
      <c r="K84" s="386">
        <f t="shared" si="123"/>
        <v>30.32</v>
      </c>
      <c r="L84" s="386"/>
      <c r="M84" s="191">
        <f t="shared" si="124"/>
        <v>0.50527704485488123</v>
      </c>
      <c r="N84" s="152">
        <f t="shared" si="125"/>
        <v>2.5579650395778364</v>
      </c>
      <c r="O84" s="152">
        <f t="shared" si="173"/>
        <v>1.1850000000000003</v>
      </c>
      <c r="P84" s="191">
        <f t="shared" si="126"/>
        <v>0.17053100263852242</v>
      </c>
      <c r="Q84" s="191">
        <f t="shared" si="127"/>
        <v>15</v>
      </c>
      <c r="R84" s="191">
        <f t="shared" si="128"/>
        <v>0.18947889182058048</v>
      </c>
      <c r="S84" s="152">
        <f t="shared" si="129"/>
        <v>49.17924964793216</v>
      </c>
      <c r="T84" s="152">
        <f t="shared" si="130"/>
        <v>15</v>
      </c>
      <c r="U84" s="191">
        <f t="shared" si="131"/>
        <v>0.34744415433710485</v>
      </c>
      <c r="V84" s="191">
        <f t="shared" si="132"/>
        <v>1.0886583502562619</v>
      </c>
      <c r="W84" s="191">
        <f t="shared" si="133"/>
        <v>1.0659187502509093</v>
      </c>
      <c r="X84" s="175">
        <f t="shared" si="134"/>
        <v>350</v>
      </c>
      <c r="Y84" s="386">
        <f t="shared" si="174"/>
        <v>350</v>
      </c>
      <c r="AA84" s="191">
        <f t="shared" si="135"/>
        <v>0.46073894667618365</v>
      </c>
      <c r="AB84" s="153">
        <f t="shared" si="136"/>
        <v>1.4134941575574826</v>
      </c>
      <c r="AC84" s="153">
        <f t="shared" si="137"/>
        <v>0.11396906662504547</v>
      </c>
      <c r="AD84" s="153"/>
      <c r="AE84" s="153">
        <f t="shared" si="138"/>
        <v>0.46018276762402083</v>
      </c>
      <c r="AF84" s="317">
        <f t="shared" si="139"/>
        <v>2288.9456264775422</v>
      </c>
      <c r="AG84" s="463">
        <f t="shared" si="140"/>
        <v>1.2079797650130546E-2</v>
      </c>
      <c r="AI84" s="153">
        <f t="shared" si="141"/>
        <v>0.40434652981937069</v>
      </c>
      <c r="AJ84" s="153">
        <f t="shared" si="142"/>
        <v>0.40434652981937069</v>
      </c>
      <c r="AK84" s="153">
        <f t="shared" si="143"/>
        <v>1.3695643532129138</v>
      </c>
      <c r="AM84" s="317">
        <f t="shared" si="144"/>
        <v>79.000000000000014</v>
      </c>
      <c r="AN84" s="147">
        <f t="shared" si="145"/>
        <v>350</v>
      </c>
      <c r="AP84">
        <f t="shared" si="146"/>
        <v>79.000000000000014</v>
      </c>
      <c r="AQ84">
        <f t="shared" si="147"/>
        <v>350</v>
      </c>
      <c r="AS84" s="5">
        <f t="shared" si="175"/>
        <v>2.8571428571428572</v>
      </c>
      <c r="AT84" s="5">
        <f t="shared" si="148"/>
        <v>1.266952460100695</v>
      </c>
      <c r="AU84" s="5">
        <f t="shared" si="176"/>
        <v>1.5901903970421623</v>
      </c>
      <c r="AV84" s="5">
        <f t="shared" si="149"/>
        <v>1.2404887011429779</v>
      </c>
      <c r="AW84" s="153">
        <f t="shared" si="177"/>
        <v>0.44343336103524322</v>
      </c>
      <c r="AX84" s="153">
        <f t="shared" si="150"/>
        <v>1.3447555555555555</v>
      </c>
      <c r="AY84" s="153">
        <f t="shared" si="151"/>
        <v>0.11252289453931498</v>
      </c>
      <c r="AZ84" s="153">
        <f t="shared" si="178"/>
        <v>11.950950613750024</v>
      </c>
      <c r="BA84" s="147">
        <f t="shared" si="152"/>
        <v>3.3279803794703455</v>
      </c>
      <c r="BB84" s="147">
        <f t="shared" si="153"/>
        <v>9.288895658358518</v>
      </c>
      <c r="BC84" s="5">
        <f t="shared" si="154"/>
        <v>0.18611117239456421</v>
      </c>
      <c r="BD84" s="147">
        <f t="shared" si="155"/>
        <v>14.22167126292565</v>
      </c>
      <c r="BE84" s="5"/>
      <c r="BF84" s="153">
        <f t="shared" si="179"/>
        <v>0.15545592334866837</v>
      </c>
      <c r="BG84" s="153">
        <f t="shared" si="156"/>
        <v>0.1741613082407667</v>
      </c>
      <c r="BH84" s="153"/>
      <c r="BI84" s="463">
        <f t="shared" si="157"/>
        <v>8.4582904364654699E-3</v>
      </c>
      <c r="BJ84" s="463">
        <f t="shared" si="158"/>
        <v>2.1454626872215807E-2</v>
      </c>
      <c r="BK84" s="463">
        <f t="shared" si="159"/>
        <v>4.3749999999999995E-3</v>
      </c>
      <c r="BL84" s="463">
        <f t="shared" si="160"/>
        <v>1.6087792E-2</v>
      </c>
      <c r="BM84">
        <f t="shared" si="161"/>
        <v>4.3499999999999997E-3</v>
      </c>
      <c r="BN84">
        <f t="shared" si="162"/>
        <v>8.7499999999999992E-6</v>
      </c>
      <c r="BO84" s="463">
        <f t="shared" si="163"/>
        <v>5.5963662868316208E-2</v>
      </c>
      <c r="BP84" s="147">
        <f t="shared" si="180"/>
        <v>55.963662868316206</v>
      </c>
      <c r="BQ84" s="463">
        <f t="shared" si="164"/>
        <v>5.3351771224135418E-2</v>
      </c>
      <c r="BR84" s="463"/>
      <c r="BT84" s="147">
        <f t="shared" si="181"/>
        <v>53.351771224135419</v>
      </c>
      <c r="BU84" s="463">
        <f t="shared" si="165"/>
        <v>2.4166544104187056E-2</v>
      </c>
      <c r="BV84" s="463">
        <f t="shared" si="166"/>
        <v>3.0332161288135352E-2</v>
      </c>
      <c r="BW84" s="463">
        <f t="shared" si="167"/>
        <v>0</v>
      </c>
      <c r="BX84" s="463">
        <f t="shared" si="168"/>
        <v>6.1305837139970773E-2</v>
      </c>
      <c r="BY84" s="463">
        <f t="shared" si="169"/>
        <v>2.8611820330969276E-2</v>
      </c>
      <c r="BZ84" s="147">
        <f t="shared" si="182"/>
        <v>89.917657470940043</v>
      </c>
      <c r="CA84" s="153">
        <f t="shared" si="183"/>
        <v>0.19923309156339164</v>
      </c>
      <c r="CB84" s="5">
        <f t="shared" si="184"/>
        <v>1.1850000000000003</v>
      </c>
      <c r="CC84" s="153">
        <f t="shared" si="185"/>
        <v>0.85606969463620297</v>
      </c>
      <c r="CD84" s="5">
        <f t="shared" si="186"/>
        <v>85.606969463620302</v>
      </c>
      <c r="CG84" s="59">
        <f t="shared" si="170"/>
        <v>-50</v>
      </c>
      <c r="CH84">
        <f t="shared" si="171"/>
        <v>-50</v>
      </c>
    </row>
    <row r="85" spans="5:86" x14ac:dyDescent="0.25">
      <c r="E85" s="150">
        <v>80</v>
      </c>
      <c r="F85" s="191">
        <f t="shared" si="172"/>
        <v>8.0000000000000016E-2</v>
      </c>
      <c r="G85" s="191"/>
      <c r="H85" s="191">
        <f t="shared" si="120"/>
        <v>1.2000000000000002</v>
      </c>
      <c r="I85" s="472">
        <f t="shared" si="121"/>
        <v>15</v>
      </c>
      <c r="J85" s="152">
        <f t="shared" si="122"/>
        <v>15.32</v>
      </c>
      <c r="K85" s="386">
        <f t="shared" si="123"/>
        <v>30.32</v>
      </c>
      <c r="L85" s="386"/>
      <c r="M85" s="191">
        <f t="shared" si="124"/>
        <v>0.50527704485488123</v>
      </c>
      <c r="N85" s="152">
        <f t="shared" si="125"/>
        <v>2.5579650395778364</v>
      </c>
      <c r="O85" s="152">
        <f t="shared" si="173"/>
        <v>1.2000000000000002</v>
      </c>
      <c r="P85" s="191">
        <f t="shared" si="126"/>
        <v>0.17053100263852242</v>
      </c>
      <c r="Q85" s="191">
        <f t="shared" si="127"/>
        <v>15</v>
      </c>
      <c r="R85" s="191">
        <f t="shared" si="128"/>
        <v>0.18947889182058048</v>
      </c>
      <c r="S85" s="152">
        <f t="shared" si="129"/>
        <v>48.379813006788766</v>
      </c>
      <c r="T85" s="152">
        <f t="shared" si="130"/>
        <v>15</v>
      </c>
      <c r="U85" s="191">
        <f t="shared" si="131"/>
        <v>0.35184218160719477</v>
      </c>
      <c r="V85" s="191">
        <f t="shared" si="132"/>
        <v>1.1024388357025434</v>
      </c>
      <c r="W85" s="191">
        <f t="shared" si="133"/>
        <v>1.0794113926591484</v>
      </c>
      <c r="X85" s="175">
        <f t="shared" si="134"/>
        <v>350</v>
      </c>
      <c r="Y85" s="386">
        <f t="shared" si="174"/>
        <v>350</v>
      </c>
      <c r="AA85" s="191">
        <f t="shared" si="135"/>
        <v>0.46073894667618365</v>
      </c>
      <c r="AB85" s="153">
        <f t="shared" si="136"/>
        <v>1.4134941575574826</v>
      </c>
      <c r="AC85" s="153">
        <f t="shared" si="137"/>
        <v>0.11396906662504547</v>
      </c>
      <c r="AD85" s="153"/>
      <c r="AE85" s="153">
        <f t="shared" si="138"/>
        <v>0.46018276762402083</v>
      </c>
      <c r="AF85" s="317">
        <f t="shared" si="139"/>
        <v>2317.91962174941</v>
      </c>
      <c r="AG85" s="463">
        <f t="shared" si="140"/>
        <v>1.2079797650130546E-2</v>
      </c>
      <c r="AI85" s="153">
        <f t="shared" si="141"/>
        <v>0.4068976373337832</v>
      </c>
      <c r="AJ85" s="153">
        <f t="shared" si="142"/>
        <v>0.4068976373337832</v>
      </c>
      <c r="AK85" s="153">
        <f t="shared" si="143"/>
        <v>1.3712650915558555</v>
      </c>
      <c r="AM85" s="317">
        <f t="shared" si="144"/>
        <v>80.000000000000014</v>
      </c>
      <c r="AN85" s="147">
        <f t="shared" si="145"/>
        <v>350</v>
      </c>
      <c r="AP85">
        <f t="shared" si="146"/>
        <v>80.000000000000014</v>
      </c>
      <c r="AQ85">
        <f t="shared" si="147"/>
        <v>350</v>
      </c>
      <c r="AS85" s="5">
        <f t="shared" si="175"/>
        <v>2.8571428571428572</v>
      </c>
      <c r="AT85" s="5">
        <f t="shared" si="148"/>
        <v>1.2749459303125206</v>
      </c>
      <c r="AU85" s="5">
        <f t="shared" si="176"/>
        <v>1.5821969268303366</v>
      </c>
      <c r="AV85" s="5">
        <f t="shared" si="149"/>
        <v>1.2483152059195697</v>
      </c>
      <c r="AW85" s="153">
        <f t="shared" si="177"/>
        <v>0.44623107560938219</v>
      </c>
      <c r="AX85" s="153">
        <f t="shared" si="150"/>
        <v>1.3617777777777778</v>
      </c>
      <c r="AY85" s="153">
        <f t="shared" si="151"/>
        <v>0.11266363348170642</v>
      </c>
      <c r="AZ85" s="153">
        <f t="shared" si="178"/>
        <v>12.087110416147675</v>
      </c>
      <c r="BA85" s="147">
        <f t="shared" si="152"/>
        <v>3.3279803794703455</v>
      </c>
      <c r="BB85" s="147">
        <f t="shared" si="153"/>
        <v>9.522507965629627</v>
      </c>
      <c r="BC85" s="5">
        <f t="shared" si="154"/>
        <v>0.18751963577248434</v>
      </c>
      <c r="BD85" s="147">
        <f t="shared" si="155"/>
        <v>14.330639349602997</v>
      </c>
      <c r="BE85" s="5"/>
      <c r="BF85" s="153">
        <f t="shared" si="179"/>
        <v>0.15692944775017387</v>
      </c>
      <c r="BG85" s="153">
        <f t="shared" si="156"/>
        <v>0.17481908034145024</v>
      </c>
      <c r="BH85" s="153"/>
      <c r="BI85" s="463">
        <f t="shared" si="157"/>
        <v>8.6193980499110912E-3</v>
      </c>
      <c r="BJ85" s="463">
        <f t="shared" si="158"/>
        <v>2.1589988636930534E-2</v>
      </c>
      <c r="BK85" s="463">
        <f t="shared" si="159"/>
        <v>4.3749999999999995E-3</v>
      </c>
      <c r="BL85" s="463">
        <f t="shared" si="160"/>
        <v>1.6087792E-2</v>
      </c>
      <c r="BM85">
        <f t="shared" si="161"/>
        <v>4.3499999999999997E-3</v>
      </c>
      <c r="BN85">
        <f t="shared" si="162"/>
        <v>8.7499999999999992E-6</v>
      </c>
      <c r="BO85" s="463">
        <f t="shared" si="163"/>
        <v>5.6284054770550783E-2</v>
      </c>
      <c r="BP85" s="147">
        <f t="shared" si="180"/>
        <v>56.284054770550782</v>
      </c>
      <c r="BQ85" s="463">
        <f t="shared" si="164"/>
        <v>5.3909147090492868E-2</v>
      </c>
      <c r="BR85" s="463"/>
      <c r="BT85" s="147">
        <f t="shared" si="181"/>
        <v>53.909147090492866</v>
      </c>
      <c r="BU85" s="463">
        <f t="shared" si="165"/>
        <v>2.462685157117455E-2</v>
      </c>
      <c r="BV85" s="463">
        <f t="shared" si="166"/>
        <v>3.0561710851430435E-2</v>
      </c>
      <c r="BW85" s="463">
        <f t="shared" si="167"/>
        <v>0</v>
      </c>
      <c r="BX85" s="463">
        <f t="shared" si="168"/>
        <v>6.2085301797620326E-2</v>
      </c>
      <c r="BY85" s="463">
        <f t="shared" si="169"/>
        <v>2.8973995271867621E-2</v>
      </c>
      <c r="BZ85" s="147">
        <f t="shared" si="182"/>
        <v>91.059297069487954</v>
      </c>
      <c r="CA85" s="153">
        <f t="shared" si="183"/>
        <v>0.2012524989305316</v>
      </c>
      <c r="CB85" s="5">
        <f t="shared" si="184"/>
        <v>1.2000000000000002</v>
      </c>
      <c r="CC85" s="153">
        <f t="shared" si="185"/>
        <v>0.85637670649356046</v>
      </c>
      <c r="CD85" s="5">
        <f t="shared" si="186"/>
        <v>85.637670649356039</v>
      </c>
      <c r="CG85" s="59">
        <f t="shared" si="170"/>
        <v>-50</v>
      </c>
      <c r="CH85">
        <f t="shared" si="171"/>
        <v>-50</v>
      </c>
    </row>
    <row r="86" spans="5:86" x14ac:dyDescent="0.25">
      <c r="E86" s="150">
        <v>81</v>
      </c>
      <c r="F86" s="191">
        <f t="shared" si="172"/>
        <v>8.1000000000000016E-2</v>
      </c>
      <c r="G86" s="191"/>
      <c r="H86" s="191">
        <f t="shared" si="120"/>
        <v>1.2150000000000003</v>
      </c>
      <c r="I86" s="472">
        <f t="shared" si="121"/>
        <v>15</v>
      </c>
      <c r="J86" s="152">
        <f t="shared" si="122"/>
        <v>15.32</v>
      </c>
      <c r="K86" s="386">
        <f t="shared" si="123"/>
        <v>30.32</v>
      </c>
      <c r="L86" s="386"/>
      <c r="M86" s="191">
        <f t="shared" si="124"/>
        <v>0.50527704485488123</v>
      </c>
      <c r="N86" s="152">
        <f t="shared" si="125"/>
        <v>2.5579650395778364</v>
      </c>
      <c r="O86" s="152">
        <f t="shared" si="173"/>
        <v>1.2150000000000003</v>
      </c>
      <c r="P86" s="191">
        <f t="shared" si="126"/>
        <v>0.17053100263852242</v>
      </c>
      <c r="Q86" s="191">
        <f t="shared" si="127"/>
        <v>15</v>
      </c>
      <c r="R86" s="191">
        <f t="shared" si="128"/>
        <v>0.18947889182058048</v>
      </c>
      <c r="S86" s="152">
        <f t="shared" si="129"/>
        <v>47.600166596673169</v>
      </c>
      <c r="T86" s="152">
        <f t="shared" si="130"/>
        <v>15</v>
      </c>
      <c r="U86" s="191">
        <f t="shared" si="131"/>
        <v>0.35624020887728469</v>
      </c>
      <c r="V86" s="191">
        <f t="shared" si="132"/>
        <v>1.1162193211488254</v>
      </c>
      <c r="W86" s="191">
        <f t="shared" si="133"/>
        <v>1.0929040350673878</v>
      </c>
      <c r="X86" s="175">
        <f t="shared" si="134"/>
        <v>350</v>
      </c>
      <c r="Y86" s="386">
        <f t="shared" si="174"/>
        <v>350</v>
      </c>
      <c r="AA86" s="191">
        <f t="shared" si="135"/>
        <v>0.46073894667618365</v>
      </c>
      <c r="AB86" s="153">
        <f t="shared" si="136"/>
        <v>1.4134941575574826</v>
      </c>
      <c r="AC86" s="153">
        <f t="shared" si="137"/>
        <v>0.11396906662504547</v>
      </c>
      <c r="AD86" s="153"/>
      <c r="AE86" s="153">
        <f t="shared" si="138"/>
        <v>0.46018276762402083</v>
      </c>
      <c r="AF86" s="317">
        <f t="shared" si="139"/>
        <v>2346.8936170212774</v>
      </c>
      <c r="AG86" s="463">
        <f t="shared" si="140"/>
        <v>1.2079797650130546E-2</v>
      </c>
      <c r="AI86" s="153">
        <f t="shared" si="141"/>
        <v>0.40943284963307797</v>
      </c>
      <c r="AJ86" s="153">
        <f t="shared" si="142"/>
        <v>0.40943284963307797</v>
      </c>
      <c r="AK86" s="153">
        <f t="shared" si="143"/>
        <v>1.3729552330887187</v>
      </c>
      <c r="AM86" s="317">
        <f t="shared" si="144"/>
        <v>81.000000000000014</v>
      </c>
      <c r="AN86" s="147">
        <f t="shared" si="145"/>
        <v>350</v>
      </c>
      <c r="AP86">
        <f t="shared" si="146"/>
        <v>81.000000000000014</v>
      </c>
      <c r="AQ86">
        <f t="shared" si="147"/>
        <v>350</v>
      </c>
      <c r="AS86" s="5">
        <f t="shared" si="175"/>
        <v>2.8571428571428572</v>
      </c>
      <c r="AT86" s="5">
        <f t="shared" si="148"/>
        <v>1.2828895955169775</v>
      </c>
      <c r="AU86" s="5">
        <f t="shared" si="176"/>
        <v>1.5742532616258798</v>
      </c>
      <c r="AV86" s="5">
        <f t="shared" si="149"/>
        <v>1.2560929460022625</v>
      </c>
      <c r="AW86" s="153">
        <f t="shared" si="177"/>
        <v>0.44901135843094209</v>
      </c>
      <c r="AX86" s="153">
        <f t="shared" si="150"/>
        <v>1.3788</v>
      </c>
      <c r="AY86" s="153">
        <f t="shared" si="151"/>
        <v>0.112796424816539</v>
      </c>
      <c r="AZ86" s="153">
        <f t="shared" si="178"/>
        <v>12.223791687037858</v>
      </c>
      <c r="BA86" s="147">
        <f t="shared" si="152"/>
        <v>3.3279803794703455</v>
      </c>
      <c r="BB86" s="147">
        <f t="shared" si="153"/>
        <v>9.75902105664</v>
      </c>
      <c r="BC86" s="5">
        <f t="shared" si="154"/>
        <v>0.1889103913951056</v>
      </c>
      <c r="BD86" s="147">
        <f t="shared" si="155"/>
        <v>14.43827935463292</v>
      </c>
      <c r="BE86" s="5"/>
      <c r="BF86" s="153">
        <f t="shared" si="179"/>
        <v>0.15839837444088564</v>
      </c>
      <c r="BG86" s="153">
        <f t="shared" si="156"/>
        <v>0.1754661631978443</v>
      </c>
      <c r="BH86" s="153"/>
      <c r="BI86" s="463">
        <f t="shared" si="157"/>
        <v>8.7815157589302556E-3</v>
      </c>
      <c r="BJ86" s="463">
        <f t="shared" si="158"/>
        <v>2.1724507001531116E-2</v>
      </c>
      <c r="BK86" s="463">
        <f t="shared" si="159"/>
        <v>4.3749999999999995E-3</v>
      </c>
      <c r="BL86" s="463">
        <f t="shared" si="160"/>
        <v>1.6087792E-2</v>
      </c>
      <c r="BM86">
        <f t="shared" si="161"/>
        <v>4.3499999999999997E-3</v>
      </c>
      <c r="BN86">
        <f t="shared" si="162"/>
        <v>8.7499999999999992E-6</v>
      </c>
      <c r="BO86" s="463">
        <f t="shared" si="163"/>
        <v>5.6604779866823537E-2</v>
      </c>
      <c r="BP86" s="147">
        <f t="shared" si="180"/>
        <v>56.604779866823534</v>
      </c>
      <c r="BQ86" s="463">
        <f t="shared" si="164"/>
        <v>5.4464318062512618E-2</v>
      </c>
      <c r="BR86" s="463"/>
      <c r="BT86" s="147">
        <f t="shared" si="181"/>
        <v>54.464318062512618</v>
      </c>
      <c r="BU86" s="463">
        <f t="shared" si="165"/>
        <v>2.5090045025515016E-2</v>
      </c>
      <c r="BV86" s="463">
        <f t="shared" si="166"/>
        <v>3.078837442737253E-2</v>
      </c>
      <c r="BW86" s="463">
        <f t="shared" si="167"/>
        <v>0</v>
      </c>
      <c r="BX86" s="463">
        <f t="shared" si="168"/>
        <v>6.2864852876664976E-2</v>
      </c>
      <c r="BY86" s="463">
        <f t="shared" si="169"/>
        <v>2.9336170212765966E-2</v>
      </c>
      <c r="BZ86" s="147">
        <f t="shared" si="182"/>
        <v>92.201023089430947</v>
      </c>
      <c r="CA86" s="153">
        <f t="shared" si="183"/>
        <v>0.2032701210187671</v>
      </c>
      <c r="CB86" s="5">
        <f t="shared" si="184"/>
        <v>1.2150000000000003</v>
      </c>
      <c r="CC86" s="153">
        <f t="shared" si="185"/>
        <v>0.85667742836410121</v>
      </c>
      <c r="CD86" s="5">
        <f t="shared" si="186"/>
        <v>85.667742836410127</v>
      </c>
      <c r="CG86" s="59">
        <f t="shared" si="170"/>
        <v>-50</v>
      </c>
      <c r="CH86">
        <f t="shared" si="171"/>
        <v>-50</v>
      </c>
    </row>
    <row r="87" spans="5:86" x14ac:dyDescent="0.25">
      <c r="E87" s="150">
        <v>82</v>
      </c>
      <c r="F87" s="191">
        <f t="shared" si="172"/>
        <v>8.2000000000000003E-2</v>
      </c>
      <c r="G87" s="191"/>
      <c r="H87" s="191">
        <f t="shared" si="120"/>
        <v>1.23</v>
      </c>
      <c r="I87" s="472">
        <f t="shared" si="121"/>
        <v>15</v>
      </c>
      <c r="J87" s="152">
        <f t="shared" si="122"/>
        <v>15.32</v>
      </c>
      <c r="K87" s="386">
        <f t="shared" si="123"/>
        <v>30.32</v>
      </c>
      <c r="L87" s="386"/>
      <c r="M87" s="191">
        <f t="shared" si="124"/>
        <v>0.50527704485488123</v>
      </c>
      <c r="N87" s="152">
        <f t="shared" si="125"/>
        <v>2.5579650395778364</v>
      </c>
      <c r="O87" s="152">
        <f t="shared" si="173"/>
        <v>1.23</v>
      </c>
      <c r="P87" s="191">
        <f t="shared" si="126"/>
        <v>0.17053100263852242</v>
      </c>
      <c r="Q87" s="191">
        <f t="shared" si="127"/>
        <v>15</v>
      </c>
      <c r="R87" s="191">
        <f t="shared" si="128"/>
        <v>0.18947889182058048</v>
      </c>
      <c r="S87" s="152">
        <f t="shared" si="129"/>
        <v>46.839586940010136</v>
      </c>
      <c r="T87" s="152">
        <f t="shared" si="130"/>
        <v>15</v>
      </c>
      <c r="U87" s="191">
        <f t="shared" si="131"/>
        <v>0.36063823614737456</v>
      </c>
      <c r="V87" s="191">
        <f t="shared" si="132"/>
        <v>1.1299998065951071</v>
      </c>
      <c r="W87" s="191">
        <f t="shared" si="133"/>
        <v>1.1063966774756271</v>
      </c>
      <c r="X87" s="175">
        <f t="shared" si="134"/>
        <v>350</v>
      </c>
      <c r="Y87" s="386">
        <f t="shared" si="174"/>
        <v>350</v>
      </c>
      <c r="AA87" s="191">
        <f t="shared" si="135"/>
        <v>0.46073894667618365</v>
      </c>
      <c r="AB87" s="153">
        <f t="shared" si="136"/>
        <v>1.4134941575574826</v>
      </c>
      <c r="AC87" s="153">
        <f t="shared" si="137"/>
        <v>0.11396906662504547</v>
      </c>
      <c r="AD87" s="153"/>
      <c r="AE87" s="153">
        <f t="shared" si="138"/>
        <v>0.46018276762402083</v>
      </c>
      <c r="AF87" s="317">
        <f t="shared" si="139"/>
        <v>2375.8676122931447</v>
      </c>
      <c r="AG87" s="463">
        <f t="shared" si="140"/>
        <v>1.2079797650130546E-2</v>
      </c>
      <c r="AI87" s="153">
        <f t="shared" si="141"/>
        <v>0.41195246018140286</v>
      </c>
      <c r="AJ87" s="153">
        <f t="shared" si="142"/>
        <v>0.41195246018140286</v>
      </c>
      <c r="AK87" s="153">
        <f t="shared" si="143"/>
        <v>1.3746349734542687</v>
      </c>
      <c r="AM87" s="317">
        <f t="shared" si="144"/>
        <v>82</v>
      </c>
      <c r="AN87" s="147">
        <f t="shared" si="145"/>
        <v>350</v>
      </c>
      <c r="AP87">
        <f t="shared" si="146"/>
        <v>82</v>
      </c>
      <c r="AQ87">
        <f t="shared" si="147"/>
        <v>350</v>
      </c>
      <c r="AS87" s="5">
        <f t="shared" si="175"/>
        <v>2.8571428571428572</v>
      </c>
      <c r="AT87" s="5">
        <f t="shared" si="148"/>
        <v>1.2907843752350623</v>
      </c>
      <c r="AU87" s="5">
        <f t="shared" si="176"/>
        <v>1.5663584819077949</v>
      </c>
      <c r="AV87" s="5">
        <f t="shared" si="149"/>
        <v>1.2638228217053482</v>
      </c>
      <c r="AW87" s="153">
        <f t="shared" si="177"/>
        <v>0.4517745313322718</v>
      </c>
      <c r="AX87" s="153">
        <f t="shared" si="150"/>
        <v>1.3958222222222223</v>
      </c>
      <c r="AY87" s="153">
        <f t="shared" si="151"/>
        <v>0.1129214152758866</v>
      </c>
      <c r="AZ87" s="153">
        <f t="shared" si="178"/>
        <v>12.36100538424874</v>
      </c>
      <c r="BA87" s="147">
        <f t="shared" si="152"/>
        <v>3.3279803794703455</v>
      </c>
      <c r="BB87" s="147">
        <f t="shared" si="153"/>
        <v>9.9984349313896264</v>
      </c>
      <c r="BC87" s="5">
        <f t="shared" si="154"/>
        <v>0.19028354891324326</v>
      </c>
      <c r="BD87" s="147">
        <f t="shared" si="155"/>
        <v>14.544599501826577</v>
      </c>
      <c r="BE87" s="5"/>
      <c r="BF87" s="153">
        <f t="shared" si="179"/>
        <v>0.15986277426736514</v>
      </c>
      <c r="BG87" s="153">
        <f t="shared" si="156"/>
        <v>0.17610272538127156</v>
      </c>
      <c r="BH87" s="153"/>
      <c r="BI87" s="463">
        <f t="shared" si="157"/>
        <v>8.9446373087604895E-3</v>
      </c>
      <c r="BJ87" s="463">
        <f t="shared" si="158"/>
        <v>2.1858197537225239E-2</v>
      </c>
      <c r="BK87" s="463">
        <f t="shared" si="159"/>
        <v>4.3749999999999995E-3</v>
      </c>
      <c r="BL87" s="463">
        <f t="shared" si="160"/>
        <v>1.6087792E-2</v>
      </c>
      <c r="BM87">
        <f t="shared" si="161"/>
        <v>4.3499999999999997E-3</v>
      </c>
      <c r="BN87">
        <f t="shared" si="162"/>
        <v>8.7499999999999992E-6</v>
      </c>
      <c r="BO87" s="463">
        <f t="shared" si="163"/>
        <v>5.6925846786947516E-2</v>
      </c>
      <c r="BP87" s="147">
        <f t="shared" si="180"/>
        <v>56.925846786947517</v>
      </c>
      <c r="BQ87" s="463">
        <f t="shared" si="164"/>
        <v>5.5017297793447627E-2</v>
      </c>
      <c r="BR87" s="463"/>
      <c r="BT87" s="147">
        <f t="shared" si="181"/>
        <v>55.017297793447625</v>
      </c>
      <c r="BU87" s="463">
        <f t="shared" si="165"/>
        <v>2.5556106596458544E-2</v>
      </c>
      <c r="BV87" s="463">
        <f t="shared" si="166"/>
        <v>3.1012169886711547E-2</v>
      </c>
      <c r="BW87" s="463">
        <f t="shared" si="167"/>
        <v>0</v>
      </c>
      <c r="BX87" s="463">
        <f t="shared" si="168"/>
        <v>6.3644490391478153E-2</v>
      </c>
      <c r="BY87" s="463">
        <f t="shared" si="169"/>
        <v>2.9698345153664308E-2</v>
      </c>
      <c r="BZ87" s="147">
        <f t="shared" si="182"/>
        <v>93.342835545142464</v>
      </c>
      <c r="CA87" s="153">
        <f t="shared" si="183"/>
        <v>0.20528598012553761</v>
      </c>
      <c r="CB87" s="5">
        <f t="shared" si="184"/>
        <v>1.23</v>
      </c>
      <c r="CC87" s="153">
        <f t="shared" si="185"/>
        <v>0.85697207179047186</v>
      </c>
      <c r="CD87" s="5">
        <f t="shared" si="186"/>
        <v>85.697207179047183</v>
      </c>
      <c r="CG87" s="59">
        <f t="shared" si="170"/>
        <v>-50</v>
      </c>
      <c r="CH87">
        <f t="shared" si="171"/>
        <v>-50</v>
      </c>
    </row>
    <row r="88" spans="5:86" x14ac:dyDescent="0.25">
      <c r="E88" s="150">
        <v>83</v>
      </c>
      <c r="F88" s="191">
        <f t="shared" si="172"/>
        <v>8.3000000000000004E-2</v>
      </c>
      <c r="G88" s="191"/>
      <c r="H88" s="191">
        <f t="shared" si="120"/>
        <v>1.2450000000000001</v>
      </c>
      <c r="I88" s="472">
        <f t="shared" si="121"/>
        <v>15</v>
      </c>
      <c r="J88" s="152">
        <f t="shared" si="122"/>
        <v>15.32</v>
      </c>
      <c r="K88" s="386">
        <f t="shared" si="123"/>
        <v>30.32</v>
      </c>
      <c r="L88" s="386"/>
      <c r="M88" s="191">
        <f t="shared" si="124"/>
        <v>0.50527704485488123</v>
      </c>
      <c r="N88" s="152">
        <f t="shared" si="125"/>
        <v>2.5579650395778364</v>
      </c>
      <c r="O88" s="152">
        <f t="shared" si="173"/>
        <v>1.2450000000000001</v>
      </c>
      <c r="P88" s="191">
        <f t="shared" si="126"/>
        <v>0.17053100263852242</v>
      </c>
      <c r="Q88" s="191">
        <f t="shared" si="127"/>
        <v>15</v>
      </c>
      <c r="R88" s="191">
        <f t="shared" si="128"/>
        <v>0.18947889182058048</v>
      </c>
      <c r="S88" s="152">
        <f t="shared" si="129"/>
        <v>46.097385433366853</v>
      </c>
      <c r="T88" s="152">
        <f t="shared" si="130"/>
        <v>15</v>
      </c>
      <c r="U88" s="191">
        <f t="shared" si="131"/>
        <v>0.36503626341746453</v>
      </c>
      <c r="V88" s="191">
        <f t="shared" si="132"/>
        <v>1.1437802920413889</v>
      </c>
      <c r="W88" s="191">
        <f t="shared" si="133"/>
        <v>1.1198893198838664</v>
      </c>
      <c r="X88" s="175">
        <f t="shared" si="134"/>
        <v>350</v>
      </c>
      <c r="Y88" s="386">
        <f t="shared" si="174"/>
        <v>350</v>
      </c>
      <c r="AA88" s="191">
        <f t="shared" si="135"/>
        <v>0.46073894667618365</v>
      </c>
      <c r="AB88" s="153">
        <f t="shared" si="136"/>
        <v>1.4134941575574826</v>
      </c>
      <c r="AC88" s="153">
        <f t="shared" si="137"/>
        <v>0.11396906662504547</v>
      </c>
      <c r="AD88" s="153"/>
      <c r="AE88" s="153">
        <f t="shared" si="138"/>
        <v>0.46018276762402083</v>
      </c>
      <c r="AF88" s="317">
        <f t="shared" si="139"/>
        <v>2404.8416075650125</v>
      </c>
      <c r="AG88" s="463">
        <f t="shared" si="140"/>
        <v>1.2079797650130546E-2</v>
      </c>
      <c r="AI88" s="153">
        <f t="shared" si="141"/>
        <v>0.41445675352243688</v>
      </c>
      <c r="AJ88" s="153">
        <f t="shared" si="142"/>
        <v>0.41445675352243688</v>
      </c>
      <c r="AK88" s="153">
        <f t="shared" si="143"/>
        <v>1.3763045023482912</v>
      </c>
      <c r="AM88" s="317">
        <f t="shared" si="144"/>
        <v>83</v>
      </c>
      <c r="AN88" s="147">
        <f t="shared" si="145"/>
        <v>350</v>
      </c>
      <c r="AP88">
        <f t="shared" si="146"/>
        <v>83</v>
      </c>
      <c r="AQ88">
        <f t="shared" si="147"/>
        <v>350</v>
      </c>
      <c r="AS88" s="5">
        <f t="shared" si="175"/>
        <v>2.8571428571428572</v>
      </c>
      <c r="AT88" s="5">
        <f t="shared" si="148"/>
        <v>1.2986311610369687</v>
      </c>
      <c r="AU88" s="5">
        <f t="shared" si="176"/>
        <v>1.5585116961058885</v>
      </c>
      <c r="AV88" s="5">
        <f t="shared" si="149"/>
        <v>1.2715057059761443</v>
      </c>
      <c r="AW88" s="153">
        <f t="shared" si="177"/>
        <v>0.45452090636293907</v>
      </c>
      <c r="AX88" s="153">
        <f t="shared" si="150"/>
        <v>1.4128444444444446</v>
      </c>
      <c r="AY88" s="153">
        <f t="shared" si="151"/>
        <v>0.11303874713158882</v>
      </c>
      <c r="AZ88" s="153">
        <f t="shared" si="178"/>
        <v>12.498762418162219</v>
      </c>
      <c r="BA88" s="147">
        <f t="shared" si="152"/>
        <v>3.3279803794703455</v>
      </c>
      <c r="BB88" s="147">
        <f t="shared" si="153"/>
        <v>10.240749589878515</v>
      </c>
      <c r="BC88" s="5">
        <f t="shared" si="154"/>
        <v>0.19163921596561298</v>
      </c>
      <c r="BD88" s="147">
        <f t="shared" si="155"/>
        <v>14.649607864087638</v>
      </c>
      <c r="BE88" s="5"/>
      <c r="BF88" s="153">
        <f t="shared" si="179"/>
        <v>0.16132271613503377</v>
      </c>
      <c r="BG88" s="153">
        <f t="shared" si="156"/>
        <v>0.17672893020744504</v>
      </c>
      <c r="BH88" s="153"/>
      <c r="BI88" s="463">
        <f t="shared" si="157"/>
        <v>9.1087565594146387E-3</v>
      </c>
      <c r="BJ88" s="463">
        <f t="shared" si="158"/>
        <v>2.19910753419005E-2</v>
      </c>
      <c r="BK88" s="463">
        <f t="shared" si="159"/>
        <v>4.3749999999999995E-3</v>
      </c>
      <c r="BL88" s="463">
        <f t="shared" si="160"/>
        <v>1.6087792E-2</v>
      </c>
      <c r="BM88">
        <f t="shared" si="161"/>
        <v>4.3499999999999997E-3</v>
      </c>
      <c r="BN88">
        <f t="shared" si="162"/>
        <v>8.7499999999999992E-6</v>
      </c>
      <c r="BO88" s="463">
        <f t="shared" si="163"/>
        <v>5.7247263818256629E-2</v>
      </c>
      <c r="BP88" s="147">
        <f t="shared" si="180"/>
        <v>57.247263818256627</v>
      </c>
      <c r="BQ88" s="463">
        <f t="shared" si="164"/>
        <v>5.5568099686012742E-2</v>
      </c>
      <c r="BR88" s="463"/>
      <c r="BT88" s="147">
        <f t="shared" si="181"/>
        <v>55.568099686012744</v>
      </c>
      <c r="BU88" s="463">
        <f t="shared" si="165"/>
        <v>2.6025018741184684E-2</v>
      </c>
      <c r="BV88" s="463">
        <f t="shared" si="166"/>
        <v>3.1233114772267982E-2</v>
      </c>
      <c r="BW88" s="463">
        <f t="shared" si="167"/>
        <v>0</v>
      </c>
      <c r="BX88" s="463">
        <f t="shared" si="168"/>
        <v>6.4424214356436596E-2</v>
      </c>
      <c r="BY88" s="463">
        <f t="shared" si="169"/>
        <v>3.0060520094562657E-2</v>
      </c>
      <c r="BZ88" s="147">
        <f t="shared" si="182"/>
        <v>94.484734450999255</v>
      </c>
      <c r="CA88" s="153">
        <f t="shared" si="183"/>
        <v>0.20730009795526866</v>
      </c>
      <c r="CB88" s="5">
        <f t="shared" si="184"/>
        <v>1.2450000000000001</v>
      </c>
      <c r="CC88" s="153">
        <f t="shared" si="185"/>
        <v>0.85726083868813907</v>
      </c>
      <c r="CD88" s="5">
        <f t="shared" si="186"/>
        <v>85.726083868813902</v>
      </c>
      <c r="CG88" s="59">
        <f t="shared" si="170"/>
        <v>-50</v>
      </c>
      <c r="CH88">
        <f t="shared" si="171"/>
        <v>-50</v>
      </c>
    </row>
    <row r="89" spans="5:86" x14ac:dyDescent="0.25">
      <c r="E89" s="150">
        <v>84</v>
      </c>
      <c r="F89" s="191">
        <f t="shared" si="172"/>
        <v>8.4000000000000005E-2</v>
      </c>
      <c r="G89" s="191"/>
      <c r="H89" s="191">
        <f t="shared" si="120"/>
        <v>1.26</v>
      </c>
      <c r="I89" s="472">
        <f t="shared" si="121"/>
        <v>15</v>
      </c>
      <c r="J89" s="152">
        <f t="shared" si="122"/>
        <v>15.32</v>
      </c>
      <c r="K89" s="386">
        <f t="shared" si="123"/>
        <v>30.32</v>
      </c>
      <c r="L89" s="386"/>
      <c r="M89" s="191">
        <f t="shared" si="124"/>
        <v>0.50527704485488123</v>
      </c>
      <c r="N89" s="152">
        <f t="shared" si="125"/>
        <v>2.5579650395778364</v>
      </c>
      <c r="O89" s="152">
        <f t="shared" si="173"/>
        <v>1.26</v>
      </c>
      <c r="P89" s="191">
        <f t="shared" si="126"/>
        <v>0.17053100263852242</v>
      </c>
      <c r="Q89" s="191">
        <f t="shared" si="127"/>
        <v>15</v>
      </c>
      <c r="R89" s="191">
        <f t="shared" si="128"/>
        <v>0.18947889182058048</v>
      </c>
      <c r="S89" s="152">
        <f t="shared" si="129"/>
        <v>45.372906271740604</v>
      </c>
      <c r="T89" s="152">
        <f t="shared" si="130"/>
        <v>15</v>
      </c>
      <c r="U89" s="191">
        <f t="shared" si="131"/>
        <v>0.36943429068755446</v>
      </c>
      <c r="V89" s="191">
        <f t="shared" si="132"/>
        <v>1.1575607774876706</v>
      </c>
      <c r="W89" s="191">
        <f t="shared" si="133"/>
        <v>1.1333819622921057</v>
      </c>
      <c r="X89" s="175">
        <f t="shared" si="134"/>
        <v>350</v>
      </c>
      <c r="Y89" s="386">
        <f t="shared" si="174"/>
        <v>350</v>
      </c>
      <c r="AA89" s="191">
        <f t="shared" si="135"/>
        <v>0.46073894667618365</v>
      </c>
      <c r="AB89" s="153">
        <f t="shared" si="136"/>
        <v>1.4134941575574826</v>
      </c>
      <c r="AC89" s="153">
        <f t="shared" si="137"/>
        <v>0.11396906662504547</v>
      </c>
      <c r="AD89" s="153"/>
      <c r="AE89" s="153">
        <f t="shared" si="138"/>
        <v>0.46018276762402083</v>
      </c>
      <c r="AF89" s="317">
        <f t="shared" si="139"/>
        <v>2433.8156028368803</v>
      </c>
      <c r="AG89" s="463">
        <f t="shared" si="140"/>
        <v>1.2079797650130546E-2</v>
      </c>
      <c r="AI89" s="153">
        <f t="shared" si="141"/>
        <v>0.41694600565445605</v>
      </c>
      <c r="AJ89" s="153">
        <f t="shared" si="142"/>
        <v>0.41694600565445605</v>
      </c>
      <c r="AK89" s="153">
        <f t="shared" si="143"/>
        <v>1.3779640037696375</v>
      </c>
      <c r="AM89" s="317">
        <f t="shared" si="144"/>
        <v>84</v>
      </c>
      <c r="AN89" s="147">
        <f t="shared" si="145"/>
        <v>350</v>
      </c>
      <c r="AP89">
        <f t="shared" si="146"/>
        <v>84</v>
      </c>
      <c r="AQ89">
        <f t="shared" si="147"/>
        <v>350</v>
      </c>
      <c r="AS89" s="5">
        <f t="shared" si="175"/>
        <v>2.8571428571428572</v>
      </c>
      <c r="AT89" s="5">
        <f t="shared" si="148"/>
        <v>1.3064308177172956</v>
      </c>
      <c r="AU89" s="5">
        <f t="shared" si="176"/>
        <v>1.5507120394255616</v>
      </c>
      <c r="AV89" s="5">
        <f t="shared" si="149"/>
        <v>1.2791424455456548</v>
      </c>
      <c r="AW89" s="153">
        <f t="shared" si="177"/>
        <v>0.45725078620105347</v>
      </c>
      <c r="AX89" s="153">
        <f t="shared" si="150"/>
        <v>1.4298666666666668</v>
      </c>
      <c r="AY89" s="153">
        <f t="shared" si="151"/>
        <v>0.11314855838278355</v>
      </c>
      <c r="AZ89" s="153">
        <f t="shared" si="178"/>
        <v>12.637073658768173</v>
      </c>
      <c r="BA89" s="147">
        <f t="shared" si="152"/>
        <v>3.3279803794703455</v>
      </c>
      <c r="BB89" s="147">
        <f t="shared" si="153"/>
        <v>10.485965032106662</v>
      </c>
      <c r="BC89" s="5">
        <f t="shared" si="154"/>
        <v>0.19297749823962543</v>
      </c>
      <c r="BD89" s="147">
        <f t="shared" si="155"/>
        <v>14.75331236797191</v>
      </c>
      <c r="BE89" s="5"/>
      <c r="BF89" s="153">
        <f t="shared" si="179"/>
        <v>0.16277826708407403</v>
      </c>
      <c r="BG89" s="153">
        <f t="shared" si="156"/>
        <v>0.17734493595488168</v>
      </c>
      <c r="BH89" s="153"/>
      <c r="BI89" s="463">
        <f t="shared" si="157"/>
        <v>9.2738674822129483E-3</v>
      </c>
      <c r="BJ89" s="463">
        <f t="shared" si="158"/>
        <v>2.2123155060025441E-2</v>
      </c>
      <c r="BK89" s="463">
        <f t="shared" si="159"/>
        <v>4.3749999999999995E-3</v>
      </c>
      <c r="BL89" s="463">
        <f t="shared" si="160"/>
        <v>1.6087792E-2</v>
      </c>
      <c r="BM89">
        <f t="shared" si="161"/>
        <v>4.3499999999999997E-3</v>
      </c>
      <c r="BN89">
        <f t="shared" si="162"/>
        <v>8.7499999999999992E-6</v>
      </c>
      <c r="BO89" s="463">
        <f t="shared" si="163"/>
        <v>5.7569038921554939E-2</v>
      </c>
      <c r="BP89" s="147">
        <f t="shared" si="180"/>
        <v>57.569038921554942</v>
      </c>
      <c r="BQ89" s="463">
        <f t="shared" si="164"/>
        <v>5.6116736899954597E-2</v>
      </c>
      <c r="BR89" s="463"/>
      <c r="BT89" s="147">
        <f t="shared" si="181"/>
        <v>56.116736899954596</v>
      </c>
      <c r="BU89" s="463">
        <f t="shared" si="165"/>
        <v>2.6496764234894138E-2</v>
      </c>
      <c r="BV89" s="463">
        <f t="shared" si="166"/>
        <v>3.1451226308841083E-2</v>
      </c>
      <c r="BW89" s="463">
        <f t="shared" si="167"/>
        <v>0</v>
      </c>
      <c r="BX89" s="463">
        <f t="shared" si="168"/>
        <v>6.5204024785920092E-2</v>
      </c>
      <c r="BY89" s="463">
        <f t="shared" si="169"/>
        <v>3.0422695035461002E-2</v>
      </c>
      <c r="BZ89" s="147">
        <f t="shared" si="182"/>
        <v>95.626719821381101</v>
      </c>
      <c r="CA89" s="153">
        <f t="shared" si="183"/>
        <v>0.20931249564289064</v>
      </c>
      <c r="CB89" s="5">
        <f t="shared" si="184"/>
        <v>1.26</v>
      </c>
      <c r="CC89" s="153">
        <f t="shared" si="185"/>
        <v>0.85754392189300277</v>
      </c>
      <c r="CD89" s="5">
        <f t="shared" si="186"/>
        <v>85.754392189300276</v>
      </c>
      <c r="CG89" s="59">
        <f t="shared" si="170"/>
        <v>-50</v>
      </c>
      <c r="CH89">
        <f t="shared" si="171"/>
        <v>-50</v>
      </c>
    </row>
    <row r="90" spans="5:86" x14ac:dyDescent="0.25">
      <c r="E90" s="150">
        <v>85</v>
      </c>
      <c r="F90" s="191">
        <f t="shared" si="172"/>
        <v>8.5000000000000006E-2</v>
      </c>
      <c r="G90" s="191"/>
      <c r="H90" s="191">
        <f t="shared" si="120"/>
        <v>1.2750000000000001</v>
      </c>
      <c r="I90" s="472">
        <f t="shared" si="121"/>
        <v>15</v>
      </c>
      <c r="J90" s="152">
        <f t="shared" si="122"/>
        <v>15.32</v>
      </c>
      <c r="K90" s="386">
        <f t="shared" si="123"/>
        <v>30.32</v>
      </c>
      <c r="L90" s="386"/>
      <c r="M90" s="191">
        <f t="shared" si="124"/>
        <v>0.50527704485488123</v>
      </c>
      <c r="N90" s="152">
        <f t="shared" si="125"/>
        <v>2.5579650395778364</v>
      </c>
      <c r="O90" s="152">
        <f t="shared" si="173"/>
        <v>1.2750000000000001</v>
      </c>
      <c r="P90" s="191">
        <f t="shared" si="126"/>
        <v>0.17053100263852242</v>
      </c>
      <c r="Q90" s="191">
        <f t="shared" si="127"/>
        <v>15</v>
      </c>
      <c r="R90" s="191">
        <f t="shared" si="128"/>
        <v>0.18947889182058048</v>
      </c>
      <c r="S90" s="152">
        <f t="shared" si="129"/>
        <v>44.665524519369839</v>
      </c>
      <c r="T90" s="152">
        <f t="shared" si="130"/>
        <v>15</v>
      </c>
      <c r="U90" s="191">
        <f t="shared" si="131"/>
        <v>0.37383231795764438</v>
      </c>
      <c r="V90" s="191">
        <f t="shared" si="132"/>
        <v>1.1713412629339524</v>
      </c>
      <c r="W90" s="191">
        <f t="shared" si="133"/>
        <v>1.1468746047003449</v>
      </c>
      <c r="X90" s="175">
        <f t="shared" si="134"/>
        <v>350</v>
      </c>
      <c r="Y90" s="386">
        <f t="shared" si="174"/>
        <v>350</v>
      </c>
      <c r="AA90" s="191">
        <f t="shared" si="135"/>
        <v>0.46073894667618365</v>
      </c>
      <c r="AB90" s="153">
        <f t="shared" si="136"/>
        <v>1.4134941575574826</v>
      </c>
      <c r="AC90" s="153">
        <f t="shared" si="137"/>
        <v>0.11396906662504547</v>
      </c>
      <c r="AD90" s="153"/>
      <c r="AE90" s="153">
        <f t="shared" si="138"/>
        <v>0.46018276762402083</v>
      </c>
      <c r="AF90" s="317">
        <f t="shared" si="139"/>
        <v>2462.7895981087481</v>
      </c>
      <c r="AG90" s="463">
        <f t="shared" si="140"/>
        <v>1.2079797650130546E-2</v>
      </c>
      <c r="AI90" s="153">
        <f t="shared" si="141"/>
        <v>0.41942048438536395</v>
      </c>
      <c r="AJ90" s="153">
        <f t="shared" si="142"/>
        <v>0.41942048438536395</v>
      </c>
      <c r="AK90" s="153">
        <f t="shared" si="143"/>
        <v>1.3796136562569092</v>
      </c>
      <c r="AM90" s="317">
        <f t="shared" si="144"/>
        <v>85</v>
      </c>
      <c r="AN90" s="147">
        <f t="shared" si="145"/>
        <v>350</v>
      </c>
      <c r="AP90">
        <f t="shared" si="146"/>
        <v>85</v>
      </c>
      <c r="AQ90">
        <f t="shared" si="147"/>
        <v>350</v>
      </c>
      <c r="AS90" s="5">
        <f t="shared" si="175"/>
        <v>2.8571428571428572</v>
      </c>
      <c r="AT90" s="5">
        <f t="shared" si="148"/>
        <v>1.3141841844074735</v>
      </c>
      <c r="AU90" s="5">
        <f t="shared" si="176"/>
        <v>1.5429586727353837</v>
      </c>
      <c r="AV90" s="5">
        <f t="shared" si="149"/>
        <v>1.2867338620177613</v>
      </c>
      <c r="AW90" s="153">
        <f t="shared" si="177"/>
        <v>0.45996446454261575</v>
      </c>
      <c r="AX90" s="153">
        <f t="shared" si="150"/>
        <v>1.4468888888888884</v>
      </c>
      <c r="AY90" s="153">
        <f t="shared" si="151"/>
        <v>0.11325098293342274</v>
      </c>
      <c r="AZ90" s="153">
        <f t="shared" si="178"/>
        <v>12.775949942434284</v>
      </c>
      <c r="BA90" s="147">
        <f t="shared" si="152"/>
        <v>3.3279803794703455</v>
      </c>
      <c r="BB90" s="147">
        <f t="shared" si="153"/>
        <v>10.734081258074074</v>
      </c>
      <c r="BC90" s="5">
        <f t="shared" si="154"/>
        <v>0.19429849952964093</v>
      </c>
      <c r="BD90" s="147">
        <f t="shared" si="155"/>
        <v>14.855720798056401</v>
      </c>
      <c r="BE90" s="5"/>
      <c r="BF90" s="153">
        <f t="shared" si="179"/>
        <v>0.16422949236149578</v>
      </c>
      <c r="BG90" s="153">
        <f t="shared" si="156"/>
        <v>0.17795089607164996</v>
      </c>
      <c r="BH90" s="153"/>
      <c r="BI90" s="463">
        <f t="shared" si="157"/>
        <v>9.4399641564601091E-3</v>
      </c>
      <c r="BJ90" s="463">
        <f t="shared" si="158"/>
        <v>2.2254450901487415E-2</v>
      </c>
      <c r="BK90" s="463">
        <f t="shared" si="159"/>
        <v>4.3749999999999995E-3</v>
      </c>
      <c r="BL90" s="463">
        <f t="shared" si="160"/>
        <v>1.6087792E-2</v>
      </c>
      <c r="BM90">
        <f t="shared" si="161"/>
        <v>4.3499999999999997E-3</v>
      </c>
      <c r="BN90">
        <f t="shared" si="162"/>
        <v>8.7499999999999992E-6</v>
      </c>
      <c r="BO90" s="463">
        <f t="shared" si="163"/>
        <v>5.7891179746167871E-2</v>
      </c>
      <c r="BP90" s="147">
        <f t="shared" si="180"/>
        <v>57.891179746167872</v>
      </c>
      <c r="BQ90" s="463">
        <f t="shared" si="164"/>
        <v>5.6663222359305224E-2</v>
      </c>
      <c r="BR90" s="463"/>
      <c r="BT90" s="147">
        <f t="shared" si="181"/>
        <v>56.663222359305223</v>
      </c>
      <c r="BU90" s="463">
        <f t="shared" si="165"/>
        <v>2.6971326161314601E-2</v>
      </c>
      <c r="BV90" s="463">
        <f t="shared" si="166"/>
        <v>3.1666521412703166E-2</v>
      </c>
      <c r="BW90" s="463">
        <f t="shared" si="167"/>
        <v>0</v>
      </c>
      <c r="BX90" s="463">
        <f t="shared" si="168"/>
        <v>6.5983921694311665E-2</v>
      </c>
      <c r="BY90" s="463">
        <f t="shared" si="169"/>
        <v>3.0784869976359333E-2</v>
      </c>
      <c r="BZ90" s="147">
        <f t="shared" si="182"/>
        <v>96.768791670670993</v>
      </c>
      <c r="CA90" s="153">
        <f t="shared" si="183"/>
        <v>0.21132319377614411</v>
      </c>
      <c r="CB90" s="5">
        <f t="shared" si="184"/>
        <v>1.2750000000000001</v>
      </c>
      <c r="CC90" s="153">
        <f t="shared" si="185"/>
        <v>0.85782150567181981</v>
      </c>
      <c r="CD90" s="5">
        <f t="shared" si="186"/>
        <v>85.782150567181986</v>
      </c>
      <c r="CG90" s="59">
        <f t="shared" si="170"/>
        <v>-50</v>
      </c>
      <c r="CH90">
        <f t="shared" si="171"/>
        <v>-50</v>
      </c>
    </row>
    <row r="91" spans="5:86" x14ac:dyDescent="0.25">
      <c r="E91" s="150">
        <v>86</v>
      </c>
      <c r="F91" s="191">
        <f t="shared" si="172"/>
        <v>8.6000000000000007E-2</v>
      </c>
      <c r="G91" s="191"/>
      <c r="H91" s="191">
        <f t="shared" si="120"/>
        <v>1.29</v>
      </c>
      <c r="I91" s="472">
        <f t="shared" si="121"/>
        <v>15</v>
      </c>
      <c r="J91" s="152">
        <f t="shared" si="122"/>
        <v>15.32</v>
      </c>
      <c r="K91" s="386">
        <f t="shared" si="123"/>
        <v>30.32</v>
      </c>
      <c r="L91" s="386"/>
      <c r="M91" s="191">
        <f t="shared" si="124"/>
        <v>0.50527704485488123</v>
      </c>
      <c r="N91" s="152">
        <f t="shared" si="125"/>
        <v>2.5579650395778364</v>
      </c>
      <c r="O91" s="152">
        <f t="shared" si="173"/>
        <v>1.29</v>
      </c>
      <c r="P91" s="191">
        <f t="shared" si="126"/>
        <v>0.17053100263852242</v>
      </c>
      <c r="Q91" s="191">
        <f t="shared" si="127"/>
        <v>15</v>
      </c>
      <c r="R91" s="191">
        <f t="shared" si="128"/>
        <v>0.18947889182058048</v>
      </c>
      <c r="S91" s="152">
        <f t="shared" si="129"/>
        <v>43.974644315142235</v>
      </c>
      <c r="T91" s="152">
        <f t="shared" si="130"/>
        <v>15</v>
      </c>
      <c r="U91" s="191">
        <f t="shared" si="131"/>
        <v>0.3782303452277343</v>
      </c>
      <c r="V91" s="191">
        <f t="shared" si="132"/>
        <v>1.1851217483802339</v>
      </c>
      <c r="W91" s="191">
        <f t="shared" si="133"/>
        <v>1.1603672471085842</v>
      </c>
      <c r="X91" s="175">
        <f t="shared" si="134"/>
        <v>350</v>
      </c>
      <c r="Y91" s="386">
        <f t="shared" si="174"/>
        <v>350</v>
      </c>
      <c r="AA91" s="191">
        <f t="shared" si="135"/>
        <v>0.46073894667618365</v>
      </c>
      <c r="AB91" s="153">
        <f t="shared" si="136"/>
        <v>1.4134941575574826</v>
      </c>
      <c r="AC91" s="153">
        <f t="shared" si="137"/>
        <v>0.11396906662504547</v>
      </c>
      <c r="AD91" s="153"/>
      <c r="AE91" s="153">
        <f t="shared" si="138"/>
        <v>0.46018276762402083</v>
      </c>
      <c r="AF91" s="317">
        <f t="shared" si="139"/>
        <v>2491.7635933806155</v>
      </c>
      <c r="AG91" s="463">
        <f t="shared" si="140"/>
        <v>1.2079797650130546E-2</v>
      </c>
      <c r="AI91" s="153">
        <f t="shared" si="141"/>
        <v>0.42188044966898036</v>
      </c>
      <c r="AJ91" s="153">
        <f t="shared" si="142"/>
        <v>0.42188044966898036</v>
      </c>
      <c r="AK91" s="153">
        <f t="shared" si="143"/>
        <v>1.3812536331126535</v>
      </c>
      <c r="AM91" s="317">
        <f t="shared" si="144"/>
        <v>86</v>
      </c>
      <c r="AN91" s="147">
        <f t="shared" si="145"/>
        <v>350</v>
      </c>
      <c r="AP91">
        <f t="shared" si="146"/>
        <v>86</v>
      </c>
      <c r="AQ91">
        <f t="shared" si="147"/>
        <v>350</v>
      </c>
      <c r="AS91" s="5">
        <f t="shared" si="175"/>
        <v>2.8571428571428572</v>
      </c>
      <c r="AT91" s="5">
        <f t="shared" si="148"/>
        <v>1.3218920756294716</v>
      </c>
      <c r="AU91" s="5">
        <f t="shared" si="176"/>
        <v>1.5352507815133856</v>
      </c>
      <c r="AV91" s="5">
        <f t="shared" si="149"/>
        <v>1.2942807529009188</v>
      </c>
      <c r="AW91" s="153">
        <f t="shared" si="177"/>
        <v>0.46266222647031507</v>
      </c>
      <c r="AX91" s="153">
        <f t="shared" si="150"/>
        <v>1.4639111111111112</v>
      </c>
      <c r="AY91" s="153">
        <f t="shared" si="151"/>
        <v>0.1133461507604161</v>
      </c>
      <c r="AZ91" s="153">
        <f t="shared" si="178"/>
        <v>12.915402078412292</v>
      </c>
      <c r="BA91" s="147">
        <f t="shared" si="152"/>
        <v>3.3279803794703455</v>
      </c>
      <c r="BB91" s="147">
        <f t="shared" si="153"/>
        <v>10.985098267780739</v>
      </c>
      <c r="BC91" s="5">
        <f t="shared" si="154"/>
        <v>0.19560232179281656</v>
      </c>
      <c r="BD91" s="147">
        <f t="shared" si="155"/>
        <v>14.956840801127909</v>
      </c>
      <c r="BE91" s="5"/>
      <c r="BF91" s="153">
        <f t="shared" si="179"/>
        <v>0.16567645548960411</v>
      </c>
      <c r="BG91" s="153">
        <f t="shared" si="156"/>
        <v>0.17854695937120182</v>
      </c>
      <c r="BH91" s="153"/>
      <c r="BI91" s="463">
        <f t="shared" si="157"/>
        <v>9.6070407662595687E-3</v>
      </c>
      <c r="BJ91" s="463">
        <f t="shared" si="158"/>
        <v>2.2384976659436097E-2</v>
      </c>
      <c r="BK91" s="463">
        <f t="shared" si="159"/>
        <v>4.3749999999999995E-3</v>
      </c>
      <c r="BL91" s="463">
        <f t="shared" si="160"/>
        <v>1.6087792E-2</v>
      </c>
      <c r="BM91">
        <f t="shared" si="161"/>
        <v>4.3499999999999997E-3</v>
      </c>
      <c r="BN91">
        <f t="shared" si="162"/>
        <v>8.7499999999999992E-6</v>
      </c>
      <c r="BO91" s="463">
        <f t="shared" si="163"/>
        <v>5.8213693644155594E-2</v>
      </c>
      <c r="BP91" s="147">
        <f t="shared" si="180"/>
        <v>58.21369364415559</v>
      </c>
      <c r="BQ91" s="463">
        <f t="shared" si="164"/>
        <v>5.7207568759336025E-2</v>
      </c>
      <c r="BR91" s="463"/>
      <c r="BT91" s="147">
        <f t="shared" si="181"/>
        <v>57.207568759336027</v>
      </c>
      <c r="BU91" s="463">
        <f t="shared" si="165"/>
        <v>2.7448687903598772E-2</v>
      </c>
      <c r="BV91" s="463">
        <f t="shared" si="166"/>
        <v>3.1879016700701597E-2</v>
      </c>
      <c r="BW91" s="463">
        <f t="shared" si="167"/>
        <v>0</v>
      </c>
      <c r="BX91" s="463">
        <f t="shared" si="168"/>
        <v>6.6763905095997625E-2</v>
      </c>
      <c r="BY91" s="463">
        <f t="shared" si="169"/>
        <v>3.1147044917257696E-2</v>
      </c>
      <c r="BZ91" s="147">
        <f t="shared" si="182"/>
        <v>97.910950013255331</v>
      </c>
      <c r="CA91" s="153">
        <f t="shared" si="183"/>
        <v>0.21333221241674696</v>
      </c>
      <c r="CB91" s="5">
        <f t="shared" si="184"/>
        <v>1.29</v>
      </c>
      <c r="CC91" s="153">
        <f t="shared" si="185"/>
        <v>0.85809376619836042</v>
      </c>
      <c r="CD91" s="5">
        <f t="shared" si="186"/>
        <v>85.809376619836044</v>
      </c>
      <c r="CG91" s="59">
        <f t="shared" si="170"/>
        <v>-50</v>
      </c>
      <c r="CH91">
        <f t="shared" si="171"/>
        <v>-50</v>
      </c>
    </row>
    <row r="92" spans="5:86" x14ac:dyDescent="0.25">
      <c r="E92" s="150">
        <v>87</v>
      </c>
      <c r="F92" s="191">
        <f t="shared" si="172"/>
        <v>8.7000000000000008E-2</v>
      </c>
      <c r="G92" s="191"/>
      <c r="H92" s="191">
        <f t="shared" si="120"/>
        <v>1.3050000000000002</v>
      </c>
      <c r="I92" s="472">
        <f t="shared" si="121"/>
        <v>15</v>
      </c>
      <c r="J92" s="152">
        <f t="shared" si="122"/>
        <v>15.32</v>
      </c>
      <c r="K92" s="386">
        <f t="shared" si="123"/>
        <v>30.32</v>
      </c>
      <c r="L92" s="386"/>
      <c r="M92" s="191">
        <f t="shared" si="124"/>
        <v>0.50527704485488123</v>
      </c>
      <c r="N92" s="152">
        <f t="shared" si="125"/>
        <v>2.5579650395778364</v>
      </c>
      <c r="O92" s="152">
        <f t="shared" si="173"/>
        <v>1.3050000000000002</v>
      </c>
      <c r="P92" s="191">
        <f t="shared" si="126"/>
        <v>0.17053100263852242</v>
      </c>
      <c r="Q92" s="191">
        <f t="shared" si="127"/>
        <v>15</v>
      </c>
      <c r="R92" s="191">
        <f t="shared" si="128"/>
        <v>0.18947889182058048</v>
      </c>
      <c r="S92" s="152">
        <f t="shared" si="129"/>
        <v>43.299697201770321</v>
      </c>
      <c r="T92" s="152">
        <f t="shared" si="130"/>
        <v>15</v>
      </c>
      <c r="U92" s="191">
        <f t="shared" si="131"/>
        <v>0.38262837249782428</v>
      </c>
      <c r="V92" s="191">
        <f t="shared" si="132"/>
        <v>1.1989022338265158</v>
      </c>
      <c r="W92" s="191">
        <f t="shared" si="133"/>
        <v>1.1738598895168237</v>
      </c>
      <c r="X92" s="175">
        <f t="shared" si="134"/>
        <v>350</v>
      </c>
      <c r="Y92" s="386">
        <f t="shared" si="174"/>
        <v>350</v>
      </c>
      <c r="AA92" s="191">
        <f t="shared" si="135"/>
        <v>0.46073894667618365</v>
      </c>
      <c r="AB92" s="153">
        <f t="shared" si="136"/>
        <v>1.4134941575574826</v>
      </c>
      <c r="AC92" s="153">
        <f t="shared" si="137"/>
        <v>0.11396906662504547</v>
      </c>
      <c r="AD92" s="153"/>
      <c r="AE92" s="153">
        <f t="shared" si="138"/>
        <v>0.46018276762402083</v>
      </c>
      <c r="AF92" s="317">
        <f t="shared" si="139"/>
        <v>2520.7375886524833</v>
      </c>
      <c r="AG92" s="463">
        <f t="shared" si="140"/>
        <v>1.2079797650130546E-2</v>
      </c>
      <c r="AI92" s="153">
        <f t="shared" si="141"/>
        <v>0.42432615392378153</v>
      </c>
      <c r="AJ92" s="153">
        <f t="shared" si="142"/>
        <v>0.42432615392378153</v>
      </c>
      <c r="AK92" s="153">
        <f t="shared" si="143"/>
        <v>1.3828841026158543</v>
      </c>
      <c r="AM92" s="317">
        <f t="shared" si="144"/>
        <v>87.000000000000014</v>
      </c>
      <c r="AN92" s="147">
        <f t="shared" si="145"/>
        <v>350</v>
      </c>
      <c r="AP92">
        <f t="shared" si="146"/>
        <v>87.000000000000014</v>
      </c>
      <c r="AQ92">
        <f t="shared" si="147"/>
        <v>350</v>
      </c>
      <c r="AS92" s="5">
        <f t="shared" si="175"/>
        <v>2.8571428571428572</v>
      </c>
      <c r="AT92" s="5">
        <f t="shared" si="148"/>
        <v>1.3295552822945154</v>
      </c>
      <c r="AU92" s="5">
        <f t="shared" si="176"/>
        <v>1.5275875748483418</v>
      </c>
      <c r="AV92" s="5">
        <f t="shared" si="149"/>
        <v>1.3017838925860139</v>
      </c>
      <c r="AW92" s="153">
        <f t="shared" si="177"/>
        <v>0.46534434880308034</v>
      </c>
      <c r="AX92" s="153">
        <f t="shared" si="150"/>
        <v>1.4809333333333332</v>
      </c>
      <c r="AY92" s="153">
        <f t="shared" si="151"/>
        <v>0.11343418807300187</v>
      </c>
      <c r="AZ92" s="153">
        <f t="shared" si="178"/>
        <v>13.055440855099713</v>
      </c>
      <c r="BA92" s="147">
        <f t="shared" si="152"/>
        <v>3.3279803794703455</v>
      </c>
      <c r="BB92" s="147">
        <f t="shared" si="153"/>
        <v>11.239016061226662</v>
      </c>
      <c r="BC92" s="5">
        <f t="shared" si="154"/>
        <v>0.19688906520267521</v>
      </c>
      <c r="BD92" s="147">
        <f t="shared" si="155"/>
        <v>15.056679890200641</v>
      </c>
      <c r="BE92" s="5"/>
      <c r="BF92" s="153">
        <f t="shared" si="179"/>
        <v>0.16711921833108762</v>
      </c>
      <c r="BG92" s="153">
        <f t="shared" si="156"/>
        <v>0.17913327021798375</v>
      </c>
      <c r="BH92" s="153"/>
      <c r="BI92" s="463">
        <f t="shared" si="157"/>
        <v>9.7750915974578051E-3</v>
      </c>
      <c r="BJ92" s="463">
        <f t="shared" si="158"/>
        <v>2.2514745727195848E-2</v>
      </c>
      <c r="BK92" s="463">
        <f t="shared" si="159"/>
        <v>4.3749999999999995E-3</v>
      </c>
      <c r="BL92" s="463">
        <f t="shared" si="160"/>
        <v>1.6087792E-2</v>
      </c>
      <c r="BM92">
        <f t="shared" si="161"/>
        <v>4.3499999999999997E-3</v>
      </c>
      <c r="BN92">
        <f t="shared" si="162"/>
        <v>8.7499999999999992E-6</v>
      </c>
      <c r="BO92" s="463">
        <f t="shared" si="163"/>
        <v>5.8536587683743327E-2</v>
      </c>
      <c r="BP92" s="147">
        <f t="shared" si="180"/>
        <v>58.536587683743328</v>
      </c>
      <c r="BQ92" s="463">
        <f t="shared" si="164"/>
        <v>5.7749788573227746E-2</v>
      </c>
      <c r="BR92" s="463"/>
      <c r="BT92" s="147">
        <f t="shared" si="181"/>
        <v>57.749788573227747</v>
      </c>
      <c r="BU92" s="463">
        <f t="shared" si="165"/>
        <v>2.7928833135593731E-2</v>
      </c>
      <c r="BV92" s="463">
        <f t="shared" si="166"/>
        <v>3.2088728498989187E-2</v>
      </c>
      <c r="BW92" s="463">
        <f t="shared" si="167"/>
        <v>0</v>
      </c>
      <c r="BX92" s="463">
        <f t="shared" si="168"/>
        <v>6.7543975005367213E-2</v>
      </c>
      <c r="BY92" s="463">
        <f t="shared" si="169"/>
        <v>3.150921985815603E-2</v>
      </c>
      <c r="BZ92" s="147">
        <f t="shared" si="182"/>
        <v>99.053194863523231</v>
      </c>
      <c r="CA92" s="153">
        <f t="shared" si="183"/>
        <v>0.21533957112049432</v>
      </c>
      <c r="CB92" s="5">
        <f t="shared" si="184"/>
        <v>1.3050000000000002</v>
      </c>
      <c r="CC92" s="153">
        <f t="shared" si="185"/>
        <v>0.85836087199796518</v>
      </c>
      <c r="CD92" s="5">
        <f t="shared" si="186"/>
        <v>85.836087199796523</v>
      </c>
      <c r="CG92" s="59">
        <f t="shared" si="170"/>
        <v>-50</v>
      </c>
      <c r="CH92">
        <f t="shared" si="171"/>
        <v>-50</v>
      </c>
    </row>
    <row r="93" spans="5:86" x14ac:dyDescent="0.25">
      <c r="E93" s="150">
        <v>88</v>
      </c>
      <c r="F93" s="191">
        <f t="shared" si="172"/>
        <v>8.8000000000000009E-2</v>
      </c>
      <c r="G93" s="191"/>
      <c r="H93" s="191">
        <f t="shared" si="120"/>
        <v>1.32</v>
      </c>
      <c r="I93" s="472">
        <f t="shared" si="121"/>
        <v>15</v>
      </c>
      <c r="J93" s="152">
        <f t="shared" si="122"/>
        <v>15.32</v>
      </c>
      <c r="K93" s="386">
        <f t="shared" si="123"/>
        <v>30.32</v>
      </c>
      <c r="L93" s="386"/>
      <c r="M93" s="191">
        <f t="shared" si="124"/>
        <v>0.50527704485488123</v>
      </c>
      <c r="N93" s="152">
        <f t="shared" si="125"/>
        <v>2.5579650395778364</v>
      </c>
      <c r="O93" s="152">
        <f t="shared" si="173"/>
        <v>1.32</v>
      </c>
      <c r="P93" s="191">
        <f t="shared" si="126"/>
        <v>0.17053100263852242</v>
      </c>
      <c r="Q93" s="191">
        <f t="shared" si="127"/>
        <v>15</v>
      </c>
      <c r="R93" s="191">
        <f t="shared" si="128"/>
        <v>0.18947889182058048</v>
      </c>
      <c r="S93" s="152">
        <f t="shared" si="129"/>
        <v>42.640140568889308</v>
      </c>
      <c r="T93" s="152">
        <f t="shared" si="130"/>
        <v>15</v>
      </c>
      <c r="U93" s="191">
        <f t="shared" si="131"/>
        <v>0.3870263997679142</v>
      </c>
      <c r="V93" s="191">
        <f t="shared" si="132"/>
        <v>1.2126827192727978</v>
      </c>
      <c r="W93" s="191">
        <f t="shared" si="133"/>
        <v>1.1873525319250631</v>
      </c>
      <c r="X93" s="175">
        <f t="shared" si="134"/>
        <v>350</v>
      </c>
      <c r="Y93" s="386">
        <f t="shared" si="174"/>
        <v>350</v>
      </c>
      <c r="AA93" s="191">
        <f t="shared" si="135"/>
        <v>0.46073894667618365</v>
      </c>
      <c r="AB93" s="153">
        <f t="shared" si="136"/>
        <v>1.4134941575574826</v>
      </c>
      <c r="AC93" s="153">
        <f t="shared" si="137"/>
        <v>0.11396906662504547</v>
      </c>
      <c r="AD93" s="153"/>
      <c r="AE93" s="153">
        <f t="shared" si="138"/>
        <v>0.46018276762402083</v>
      </c>
      <c r="AF93" s="317">
        <f t="shared" si="139"/>
        <v>2549.7115839243506</v>
      </c>
      <c r="AG93" s="463">
        <f t="shared" si="140"/>
        <v>1.2079797650130546E-2</v>
      </c>
      <c r="AI93" s="153">
        <f t="shared" si="141"/>
        <v>0.42675784233520114</v>
      </c>
      <c r="AJ93" s="153">
        <f t="shared" si="142"/>
        <v>0.42675784233520114</v>
      </c>
      <c r="AK93" s="153">
        <f t="shared" si="143"/>
        <v>1.3845052282234676</v>
      </c>
      <c r="AM93" s="317">
        <f t="shared" si="144"/>
        <v>88.000000000000014</v>
      </c>
      <c r="AN93" s="147">
        <f t="shared" si="145"/>
        <v>350</v>
      </c>
      <c r="AP93">
        <f t="shared" si="146"/>
        <v>88.000000000000014</v>
      </c>
      <c r="AQ93">
        <f t="shared" si="147"/>
        <v>350</v>
      </c>
      <c r="AS93" s="5">
        <f t="shared" si="175"/>
        <v>2.8571428571428572</v>
      </c>
      <c r="AT93" s="5">
        <f t="shared" si="148"/>
        <v>1.3371745726502968</v>
      </c>
      <c r="AU93" s="5">
        <f t="shared" si="176"/>
        <v>1.5199682844925604</v>
      </c>
      <c r="AV93" s="5">
        <f t="shared" si="149"/>
        <v>1.3092440332737894</v>
      </c>
      <c r="AW93" s="153">
        <f t="shared" si="177"/>
        <v>0.46801110042760385</v>
      </c>
      <c r="AX93" s="153">
        <f t="shared" si="150"/>
        <v>1.4979555555555553</v>
      </c>
      <c r="AY93" s="153">
        <f t="shared" si="151"/>
        <v>0.11351521746389689</v>
      </c>
      <c r="AZ93" s="153">
        <f t="shared" si="178"/>
        <v>13.19607704607512</v>
      </c>
      <c r="BA93" s="147">
        <f t="shared" si="152"/>
        <v>3.3279803794703455</v>
      </c>
      <c r="BB93" s="147">
        <f t="shared" si="153"/>
        <v>11.49583463841185</v>
      </c>
      <c r="BC93" s="5">
        <f t="shared" si="154"/>
        <v>0.19815882820051159</v>
      </c>
      <c r="BD93" s="147">
        <f t="shared" si="155"/>
        <v>15.155245448371701</v>
      </c>
      <c r="BE93" s="5"/>
      <c r="BF93" s="153">
        <f t="shared" si="179"/>
        <v>0.16855784115093236</v>
      </c>
      <c r="BG93" s="153">
        <f t="shared" si="156"/>
        <v>0.179709968703471</v>
      </c>
      <c r="BH93" s="153"/>
      <c r="BI93" s="463">
        <f t="shared" si="157"/>
        <v>9.9441110347120321E-3</v>
      </c>
      <c r="BJ93" s="463">
        <f t="shared" si="158"/>
        <v>2.2643771114305777E-2</v>
      </c>
      <c r="BK93" s="463">
        <f t="shared" si="159"/>
        <v>4.3749999999999995E-3</v>
      </c>
      <c r="BL93" s="463">
        <f t="shared" si="160"/>
        <v>1.6087792E-2</v>
      </c>
      <c r="BM93">
        <f t="shared" si="161"/>
        <v>4.3499999999999997E-3</v>
      </c>
      <c r="BN93">
        <f t="shared" si="162"/>
        <v>8.7499999999999992E-6</v>
      </c>
      <c r="BO93" s="463">
        <f t="shared" si="163"/>
        <v>5.8859868662019983E-2</v>
      </c>
      <c r="BP93" s="147">
        <f t="shared" si="180"/>
        <v>58.859868662019984</v>
      </c>
      <c r="BQ93" s="463">
        <f t="shared" si="164"/>
        <v>5.8289894058471535E-2</v>
      </c>
      <c r="BR93" s="463"/>
      <c r="BT93" s="147">
        <f t="shared" si="181"/>
        <v>58.289894058471532</v>
      </c>
      <c r="BU93" s="463">
        <f t="shared" si="165"/>
        <v>2.8411745813462948E-2</v>
      </c>
      <c r="BV93" s="463">
        <f t="shared" si="166"/>
        <v>3.2295672851402529E-2</v>
      </c>
      <c r="BW93" s="463">
        <f t="shared" si="167"/>
        <v>0</v>
      </c>
      <c r="BX93" s="463">
        <f t="shared" si="168"/>
        <v>6.8324131436813179E-2</v>
      </c>
      <c r="BY93" s="463">
        <f t="shared" si="169"/>
        <v>3.1871394799054376E-2</v>
      </c>
      <c r="BZ93" s="147">
        <f t="shared" si="182"/>
        <v>100.19552623586756</v>
      </c>
      <c r="CA93" s="153">
        <f t="shared" si="183"/>
        <v>0.21734528895635907</v>
      </c>
      <c r="CB93" s="5">
        <f t="shared" si="184"/>
        <v>1.32</v>
      </c>
      <c r="CC93" s="153">
        <f t="shared" si="185"/>
        <v>0.85862298436293005</v>
      </c>
      <c r="CD93" s="5">
        <f t="shared" si="186"/>
        <v>85.862298436293003</v>
      </c>
      <c r="CG93" s="59">
        <f t="shared" si="170"/>
        <v>-50</v>
      </c>
      <c r="CH93">
        <f t="shared" si="171"/>
        <v>-50</v>
      </c>
    </row>
    <row r="94" spans="5:86" x14ac:dyDescent="0.25">
      <c r="E94" s="150">
        <v>89</v>
      </c>
      <c r="F94" s="191">
        <f t="shared" si="172"/>
        <v>8.900000000000001E-2</v>
      </c>
      <c r="G94" s="191"/>
      <c r="H94" s="191">
        <f t="shared" si="120"/>
        <v>1.3350000000000002</v>
      </c>
      <c r="I94" s="472">
        <f t="shared" si="121"/>
        <v>15</v>
      </c>
      <c r="J94" s="152">
        <f t="shared" si="122"/>
        <v>15.32</v>
      </c>
      <c r="K94" s="386">
        <f t="shared" si="123"/>
        <v>30.32</v>
      </c>
      <c r="L94" s="386"/>
      <c r="M94" s="191">
        <f t="shared" si="124"/>
        <v>0.50527704485488123</v>
      </c>
      <c r="N94" s="152">
        <f t="shared" si="125"/>
        <v>2.5579650395778364</v>
      </c>
      <c r="O94" s="152">
        <f t="shared" si="173"/>
        <v>1.3350000000000002</v>
      </c>
      <c r="P94" s="191">
        <f t="shared" si="126"/>
        <v>0.17053100263852242</v>
      </c>
      <c r="Q94" s="191">
        <f t="shared" si="127"/>
        <v>15</v>
      </c>
      <c r="R94" s="191">
        <f t="shared" si="128"/>
        <v>0.18947889182058048</v>
      </c>
      <c r="S94" s="152">
        <f t="shared" si="129"/>
        <v>41.995456201117385</v>
      </c>
      <c r="T94" s="152">
        <f t="shared" si="130"/>
        <v>15</v>
      </c>
      <c r="U94" s="191">
        <f t="shared" si="131"/>
        <v>0.39142442703800417</v>
      </c>
      <c r="V94" s="191">
        <f t="shared" si="132"/>
        <v>1.2264632047190798</v>
      </c>
      <c r="W94" s="191">
        <f t="shared" si="133"/>
        <v>1.2008451743333026</v>
      </c>
      <c r="X94" s="175">
        <f t="shared" si="134"/>
        <v>350</v>
      </c>
      <c r="Y94" s="386">
        <f t="shared" si="174"/>
        <v>350</v>
      </c>
      <c r="AA94" s="191">
        <f t="shared" si="135"/>
        <v>0.46073894667618365</v>
      </c>
      <c r="AB94" s="153">
        <f t="shared" si="136"/>
        <v>1.4134941575574826</v>
      </c>
      <c r="AC94" s="153">
        <f t="shared" si="137"/>
        <v>0.11396906662504547</v>
      </c>
      <c r="AD94" s="153"/>
      <c r="AE94" s="153">
        <f t="shared" si="138"/>
        <v>0.46018276762402083</v>
      </c>
      <c r="AF94" s="317">
        <f t="shared" si="139"/>
        <v>2578.6855791962184</v>
      </c>
      <c r="AG94" s="463">
        <f t="shared" si="140"/>
        <v>1.2079797650130546E-2</v>
      </c>
      <c r="AI94" s="153">
        <f t="shared" si="141"/>
        <v>0.42917575314251399</v>
      </c>
      <c r="AJ94" s="153">
        <f t="shared" si="142"/>
        <v>0.42917575314251399</v>
      </c>
      <c r="AK94" s="153">
        <f t="shared" si="143"/>
        <v>1.386117168761676</v>
      </c>
      <c r="AM94" s="317">
        <f t="shared" si="144"/>
        <v>89.000000000000014</v>
      </c>
      <c r="AN94" s="147">
        <f t="shared" si="145"/>
        <v>350</v>
      </c>
      <c r="AP94">
        <f t="shared" si="146"/>
        <v>89.000000000000014</v>
      </c>
      <c r="AQ94">
        <f t="shared" si="147"/>
        <v>350</v>
      </c>
      <c r="AS94" s="5">
        <f t="shared" si="175"/>
        <v>2.8571428571428572</v>
      </c>
      <c r="AT94" s="5">
        <f t="shared" si="148"/>
        <v>1.3447506931798769</v>
      </c>
      <c r="AU94" s="5">
        <f t="shared" si="176"/>
        <v>1.5123921639629803</v>
      </c>
      <c r="AV94" s="5">
        <f t="shared" si="149"/>
        <v>1.3166619058549709</v>
      </c>
      <c r="AW94" s="153">
        <f t="shared" si="177"/>
        <v>0.47066274261295693</v>
      </c>
      <c r="AX94" s="153">
        <f t="shared" si="150"/>
        <v>1.5149777777777775</v>
      </c>
      <c r="AY94" s="153">
        <f t="shared" si="151"/>
        <v>0.1135893580527385</v>
      </c>
      <c r="AZ94" s="153">
        <f t="shared" si="178"/>
        <v>13.337321415923377</v>
      </c>
      <c r="BA94" s="147">
        <f t="shared" si="152"/>
        <v>3.3279803794703455</v>
      </c>
      <c r="BB94" s="147">
        <f t="shared" si="153"/>
        <v>11.755553999336291</v>
      </c>
      <c r="BC94" s="5">
        <f t="shared" si="154"/>
        <v>0.19941170754474855</v>
      </c>
      <c r="BD94" s="147">
        <f t="shared" si="155"/>
        <v>15.252544732522807</v>
      </c>
      <c r="BE94" s="5"/>
      <c r="BF94" s="153">
        <f t="shared" si="179"/>
        <v>0.16999238267534877</v>
      </c>
      <c r="BG94" s="153">
        <f t="shared" si="156"/>
        <v>0.18027719081321913</v>
      </c>
      <c r="BH94" s="153"/>
      <c r="BI94" s="463">
        <f t="shared" si="157"/>
        <v>1.0114093558674776E-2</v>
      </c>
      <c r="BJ94" s="463">
        <f t="shared" si="158"/>
        <v>2.2772065461741795E-2</v>
      </c>
      <c r="BK94" s="463">
        <f t="shared" si="159"/>
        <v>4.3749999999999995E-3</v>
      </c>
      <c r="BL94" s="463">
        <f t="shared" si="160"/>
        <v>1.6087792E-2</v>
      </c>
      <c r="BM94">
        <f t="shared" si="161"/>
        <v>4.3499999999999997E-3</v>
      </c>
      <c r="BN94">
        <f t="shared" si="162"/>
        <v>8.7499999999999992E-6</v>
      </c>
      <c r="BO94" s="463">
        <f t="shared" si="163"/>
        <v>5.9183543116952023E-2</v>
      </c>
      <c r="BP94" s="147">
        <f t="shared" si="180"/>
        <v>59.183543116952023</v>
      </c>
      <c r="BQ94" s="463">
        <f t="shared" si="164"/>
        <v>5.8827897263014461E-2</v>
      </c>
      <c r="BR94" s="463"/>
      <c r="BT94" s="147">
        <f t="shared" si="181"/>
        <v>58.827897263014464</v>
      </c>
      <c r="BU94" s="463">
        <f t="shared" si="165"/>
        <v>2.8897410167642218E-2</v>
      </c>
      <c r="BV94" s="463">
        <f t="shared" si="166"/>
        <v>3.249986552750582E-2</v>
      </c>
      <c r="BW94" s="463">
        <f t="shared" si="167"/>
        <v>0</v>
      </c>
      <c r="BX94" s="463">
        <f t="shared" si="168"/>
        <v>6.9104374404731259E-2</v>
      </c>
      <c r="BY94" s="463">
        <f t="shared" si="169"/>
        <v>3.2233569739952721E-2</v>
      </c>
      <c r="BZ94" s="147">
        <f t="shared" si="182"/>
        <v>101.33794414468397</v>
      </c>
      <c r="CA94" s="153">
        <f t="shared" si="183"/>
        <v>0.21934938452465047</v>
      </c>
      <c r="CB94" s="5">
        <f t="shared" si="184"/>
        <v>1.3350000000000002</v>
      </c>
      <c r="CC94" s="153">
        <f t="shared" si="185"/>
        <v>0.85888025774093801</v>
      </c>
      <c r="CD94" s="5">
        <f t="shared" si="186"/>
        <v>85.888025774093805</v>
      </c>
      <c r="CG94" s="59">
        <f t="shared" si="170"/>
        <v>-50</v>
      </c>
      <c r="CH94">
        <f t="shared" si="171"/>
        <v>-50</v>
      </c>
    </row>
    <row r="95" spans="5:86" x14ac:dyDescent="0.25">
      <c r="E95" s="150">
        <v>90</v>
      </c>
      <c r="F95" s="191">
        <f t="shared" si="172"/>
        <v>9.0000000000000011E-2</v>
      </c>
      <c r="G95" s="191"/>
      <c r="H95" s="191">
        <f t="shared" si="120"/>
        <v>1.35</v>
      </c>
      <c r="I95" s="472">
        <f t="shared" si="121"/>
        <v>15</v>
      </c>
      <c r="J95" s="152">
        <f t="shared" si="122"/>
        <v>15.32</v>
      </c>
      <c r="K95" s="386">
        <f t="shared" si="123"/>
        <v>30.32</v>
      </c>
      <c r="L95" s="386"/>
      <c r="M95" s="191">
        <f t="shared" si="124"/>
        <v>0.50527704485488123</v>
      </c>
      <c r="N95" s="152">
        <f t="shared" si="125"/>
        <v>2.5579650395778364</v>
      </c>
      <c r="O95" s="152">
        <f t="shared" si="173"/>
        <v>1.35</v>
      </c>
      <c r="P95" s="191">
        <f t="shared" si="126"/>
        <v>0.17053100263852242</v>
      </c>
      <c r="Q95" s="191">
        <f t="shared" si="127"/>
        <v>15</v>
      </c>
      <c r="R95" s="191">
        <f t="shared" si="128"/>
        <v>0.18947889182058048</v>
      </c>
      <c r="S95" s="152">
        <f t="shared" si="129"/>
        <v>41.365148922914408</v>
      </c>
      <c r="T95" s="152">
        <f t="shared" si="130"/>
        <v>15</v>
      </c>
      <c r="U95" s="191">
        <f t="shared" si="131"/>
        <v>0.39582245430809404</v>
      </c>
      <c r="V95" s="191">
        <f t="shared" si="132"/>
        <v>1.2402436901653613</v>
      </c>
      <c r="W95" s="191">
        <f t="shared" si="133"/>
        <v>1.2143378167415417</v>
      </c>
      <c r="X95" s="175">
        <f t="shared" si="134"/>
        <v>350</v>
      </c>
      <c r="Y95" s="386">
        <f t="shared" si="174"/>
        <v>350</v>
      </c>
      <c r="AA95" s="191">
        <f t="shared" si="135"/>
        <v>0.46073894667618365</v>
      </c>
      <c r="AB95" s="153">
        <f t="shared" si="136"/>
        <v>1.4134941575574826</v>
      </c>
      <c r="AC95" s="153">
        <f t="shared" si="137"/>
        <v>0.11396906662504547</v>
      </c>
      <c r="AD95" s="153"/>
      <c r="AE95" s="153">
        <f t="shared" si="138"/>
        <v>0.46018276762402083</v>
      </c>
      <c r="AF95" s="317">
        <f t="shared" si="139"/>
        <v>2607.6595744680858</v>
      </c>
      <c r="AG95" s="463">
        <f t="shared" si="140"/>
        <v>1.2079797650130546E-2</v>
      </c>
      <c r="AI95" s="153">
        <f t="shared" si="141"/>
        <v>0.43158011791125384</v>
      </c>
      <c r="AJ95" s="153">
        <f t="shared" si="142"/>
        <v>0.43158011791125384</v>
      </c>
      <c r="AK95" s="153">
        <f t="shared" si="143"/>
        <v>1.3877200786075026</v>
      </c>
      <c r="AM95" s="317">
        <f t="shared" si="144"/>
        <v>90.000000000000014</v>
      </c>
      <c r="AN95" s="147">
        <f t="shared" si="145"/>
        <v>350</v>
      </c>
      <c r="AP95">
        <f t="shared" si="146"/>
        <v>90.000000000000014</v>
      </c>
      <c r="AQ95">
        <f t="shared" si="147"/>
        <v>350</v>
      </c>
      <c r="AS95" s="5">
        <f t="shared" si="175"/>
        <v>2.8571428571428572</v>
      </c>
      <c r="AT95" s="5">
        <f t="shared" si="148"/>
        <v>1.3522843694552622</v>
      </c>
      <c r="AU95" s="5">
        <f t="shared" si="176"/>
        <v>1.504858487687595</v>
      </c>
      <c r="AV95" s="5">
        <f t="shared" si="149"/>
        <v>1.3240382207460137</v>
      </c>
      <c r="AW95" s="153">
        <f t="shared" si="177"/>
        <v>0.47329952930934177</v>
      </c>
      <c r="AX95" s="153">
        <f t="shared" si="150"/>
        <v>1.5319999999999998</v>
      </c>
      <c r="AY95" s="153">
        <f t="shared" si="151"/>
        <v>0.11365672562229358</v>
      </c>
      <c r="AZ95" s="153">
        <f t="shared" si="178"/>
        <v>13.479184725866329</v>
      </c>
      <c r="BA95" s="147">
        <f t="shared" si="152"/>
        <v>3.3279803794703455</v>
      </c>
      <c r="BB95" s="147">
        <f t="shared" si="153"/>
        <v>12.018174143999996</v>
      </c>
      <c r="BC95" s="5">
        <f t="shared" si="154"/>
        <v>0.20064779835834601</v>
      </c>
      <c r="BD95" s="147">
        <f t="shared" si="155"/>
        <v>15.34858487687595</v>
      </c>
      <c r="BE95" s="5"/>
      <c r="BF95" s="153">
        <f t="shared" si="179"/>
        <v>0.17142290014788844</v>
      </c>
      <c r="BG95" s="153">
        <f t="shared" si="156"/>
        <v>0.18083506858548665</v>
      </c>
      <c r="BH95" s="153"/>
      <c r="BI95" s="463">
        <f t="shared" si="157"/>
        <v>1.0285033743289524E-2</v>
      </c>
      <c r="BJ95" s="463">
        <f t="shared" si="158"/>
        <v>2.2899641056371132E-2</v>
      </c>
      <c r="BK95" s="463">
        <f t="shared" si="159"/>
        <v>4.3749999999999995E-3</v>
      </c>
      <c r="BL95" s="463">
        <f t="shared" si="160"/>
        <v>1.6087792E-2</v>
      </c>
      <c r="BM95">
        <f t="shared" si="161"/>
        <v>4.3499999999999997E-3</v>
      </c>
      <c r="BN95">
        <f t="shared" si="162"/>
        <v>8.7499999999999992E-6</v>
      </c>
      <c r="BO95" s="463">
        <f t="shared" si="163"/>
        <v>5.9507617338756286E-2</v>
      </c>
      <c r="BP95" s="147">
        <f t="shared" si="180"/>
        <v>59.507617338756283</v>
      </c>
      <c r="BQ95" s="463">
        <f t="shared" si="164"/>
        <v>5.93638100311627E-2</v>
      </c>
      <c r="BR95" s="463"/>
      <c r="BT95" s="147">
        <f t="shared" si="181"/>
        <v>59.3638100311627</v>
      </c>
      <c r="BU95" s="463">
        <f t="shared" si="165"/>
        <v>2.9385810695112931E-2</v>
      </c>
      <c r="BV95" s="463">
        <f t="shared" si="166"/>
        <v>3.2701322030317663E-2</v>
      </c>
      <c r="BW95" s="463">
        <f t="shared" si="167"/>
        <v>0</v>
      </c>
      <c r="BX95" s="463">
        <f t="shared" si="168"/>
        <v>6.9884703923520433E-2</v>
      </c>
      <c r="BY95" s="463">
        <f t="shared" si="169"/>
        <v>3.2595744680851066E-2</v>
      </c>
      <c r="BZ95" s="147">
        <f t="shared" si="182"/>
        <v>102.4804486043715</v>
      </c>
      <c r="CA95" s="153">
        <f t="shared" si="183"/>
        <v>0.22135187597429051</v>
      </c>
      <c r="CB95" s="5">
        <f t="shared" si="184"/>
        <v>1.35</v>
      </c>
      <c r="CC95" s="153">
        <f t="shared" si="185"/>
        <v>0.85913284009856483</v>
      </c>
      <c r="CD95" s="5">
        <f t="shared" si="186"/>
        <v>85.913284009856483</v>
      </c>
      <c r="CG95" s="59">
        <f t="shared" si="170"/>
        <v>-50</v>
      </c>
      <c r="CH95">
        <f t="shared" si="171"/>
        <v>-50</v>
      </c>
    </row>
    <row r="96" spans="5:86" x14ac:dyDescent="0.25">
      <c r="E96" s="150">
        <v>91</v>
      </c>
      <c r="F96" s="191">
        <f t="shared" si="172"/>
        <v>9.1000000000000011E-2</v>
      </c>
      <c r="G96" s="191"/>
      <c r="H96" s="191">
        <f t="shared" si="120"/>
        <v>1.3650000000000002</v>
      </c>
      <c r="I96" s="472">
        <f t="shared" si="121"/>
        <v>15</v>
      </c>
      <c r="J96" s="152">
        <f t="shared" si="122"/>
        <v>15.32</v>
      </c>
      <c r="K96" s="386">
        <f t="shared" si="123"/>
        <v>30.32</v>
      </c>
      <c r="L96" s="386"/>
      <c r="M96" s="191">
        <f t="shared" si="124"/>
        <v>0.50527704485488123</v>
      </c>
      <c r="N96" s="152">
        <f t="shared" si="125"/>
        <v>2.5579650395778364</v>
      </c>
      <c r="O96" s="152">
        <f t="shared" si="173"/>
        <v>1.3650000000000002</v>
      </c>
      <c r="P96" s="191">
        <f t="shared" si="126"/>
        <v>0.17053100263852242</v>
      </c>
      <c r="Q96" s="191">
        <f t="shared" si="127"/>
        <v>15</v>
      </c>
      <c r="R96" s="191">
        <f t="shared" si="128"/>
        <v>0.18947889182058048</v>
      </c>
      <c r="S96" s="152">
        <f t="shared" si="129"/>
        <v>40.748745332793163</v>
      </c>
      <c r="T96" s="191">
        <f t="shared" si="130"/>
        <v>15</v>
      </c>
      <c r="U96" s="191">
        <f t="shared" si="131"/>
        <v>0.40022048157818402</v>
      </c>
      <c r="V96" s="191">
        <f t="shared" si="132"/>
        <v>1.254024175611643</v>
      </c>
      <c r="W96" s="191">
        <f t="shared" si="133"/>
        <v>1.2278304591497811</v>
      </c>
      <c r="X96" s="175">
        <f t="shared" si="134"/>
        <v>350</v>
      </c>
      <c r="Y96" s="386">
        <f t="shared" si="174"/>
        <v>350</v>
      </c>
      <c r="AA96" s="191">
        <f t="shared" si="135"/>
        <v>0.46073894667618365</v>
      </c>
      <c r="AB96" s="153">
        <f t="shared" si="136"/>
        <v>1.4134941575574826</v>
      </c>
      <c r="AC96" s="153">
        <f t="shared" si="137"/>
        <v>0.11396906662504547</v>
      </c>
      <c r="AD96" s="153"/>
      <c r="AE96" s="153">
        <f t="shared" si="138"/>
        <v>0.46018276762402083</v>
      </c>
      <c r="AF96" s="317">
        <f t="shared" si="139"/>
        <v>2636.6335697399536</v>
      </c>
      <c r="AG96" s="463">
        <f t="shared" si="140"/>
        <v>1.2079797650130546E-2</v>
      </c>
      <c r="AI96" s="153">
        <f t="shared" si="141"/>
        <v>0.43397116179204753</v>
      </c>
      <c r="AJ96" s="153">
        <f t="shared" si="142"/>
        <v>0.43397116179204753</v>
      </c>
      <c r="AK96" s="153">
        <f t="shared" si="143"/>
        <v>1.3893141078613649</v>
      </c>
      <c r="AM96" s="317">
        <f t="shared" si="144"/>
        <v>91.000000000000014</v>
      </c>
      <c r="AN96" s="147">
        <f t="shared" si="145"/>
        <v>350</v>
      </c>
      <c r="AP96">
        <f t="shared" si="146"/>
        <v>91.000000000000014</v>
      </c>
      <c r="AQ96">
        <f t="shared" si="147"/>
        <v>350</v>
      </c>
      <c r="AS96" s="5">
        <f t="shared" si="175"/>
        <v>2.8571428571428572</v>
      </c>
      <c r="AT96" s="5">
        <f t="shared" si="148"/>
        <v>1.3597763069484157</v>
      </c>
      <c r="AU96" s="5">
        <f t="shared" si="176"/>
        <v>1.4973665501944415</v>
      </c>
      <c r="AV96" s="5">
        <f t="shared" si="149"/>
        <v>1.3313736686831745</v>
      </c>
      <c r="AW96" s="153">
        <f t="shared" si="177"/>
        <v>0.47592170743194545</v>
      </c>
      <c r="AX96" s="153">
        <f t="shared" si="150"/>
        <v>1.5490222222222223</v>
      </c>
      <c r="AY96" s="153">
        <f t="shared" si="151"/>
        <v>0.1137174327478756</v>
      </c>
      <c r="AZ96" s="153">
        <f t="shared" si="178"/>
        <v>13.621677739213297</v>
      </c>
      <c r="BA96" s="147">
        <f t="shared" si="152"/>
        <v>3.3279803794703455</v>
      </c>
      <c r="BB96" s="147">
        <f t="shared" si="153"/>
        <v>12.28369507240296</v>
      </c>
      <c r="BC96" s="5">
        <f t="shared" si="154"/>
        <v>0.20186719417436175</v>
      </c>
      <c r="BD96" s="147">
        <f t="shared" si="155"/>
        <v>15.443372896410464</v>
      </c>
      <c r="BE96" s="5"/>
      <c r="BF96" s="153">
        <f t="shared" si="179"/>
        <v>0.17284944938291458</v>
      </c>
      <c r="BG96" s="153">
        <f t="shared" si="156"/>
        <v>0.18138373026194055</v>
      </c>
      <c r="BH96" s="153"/>
      <c r="BI96" s="463">
        <f t="shared" si="157"/>
        <v>1.0456926253191862E-2</v>
      </c>
      <c r="BJ96" s="463">
        <f t="shared" si="158"/>
        <v>2.3026509844686044E-2</v>
      </c>
      <c r="BK96" s="463">
        <f t="shared" si="159"/>
        <v>4.3749999999999995E-3</v>
      </c>
      <c r="BL96" s="463">
        <f t="shared" si="160"/>
        <v>1.6087792E-2</v>
      </c>
      <c r="BM96">
        <f t="shared" si="161"/>
        <v>4.3499999999999997E-3</v>
      </c>
      <c r="BN96">
        <f t="shared" si="162"/>
        <v>8.7499999999999992E-6</v>
      </c>
      <c r="BO96" s="463">
        <f t="shared" si="163"/>
        <v>5.9832097380672314E-2</v>
      </c>
      <c r="BP96" s="147">
        <f t="shared" si="180"/>
        <v>59.832097380672316</v>
      </c>
      <c r="BQ96" s="463">
        <f t="shared" si="164"/>
        <v>5.9897644009254632E-2</v>
      </c>
      <c r="BR96" s="463"/>
      <c r="BT96" s="147">
        <f t="shared" si="181"/>
        <v>59.897644009254634</v>
      </c>
      <c r="BU96" s="463">
        <f t="shared" si="165"/>
        <v>2.9876932151976749E-2</v>
      </c>
      <c r="BV96" s="463">
        <f t="shared" si="166"/>
        <v>3.2900057603736405E-2</v>
      </c>
      <c r="BW96" s="463">
        <f t="shared" si="167"/>
        <v>0</v>
      </c>
      <c r="BX96" s="463">
        <f t="shared" si="168"/>
        <v>7.0665120007582904E-2</v>
      </c>
      <c r="BY96" s="463">
        <f t="shared" si="169"/>
        <v>3.2957919621749411E-2</v>
      </c>
      <c r="BZ96" s="147">
        <f t="shared" si="182"/>
        <v>103.62303962933231</v>
      </c>
      <c r="CA96" s="153">
        <f t="shared" si="183"/>
        <v>0.22335278101925926</v>
      </c>
      <c r="CB96" s="5">
        <f t="shared" si="184"/>
        <v>1.3650000000000002</v>
      </c>
      <c r="CC96" s="153">
        <f t="shared" si="185"/>
        <v>0.85938087326171209</v>
      </c>
      <c r="CD96" s="5">
        <f t="shared" si="186"/>
        <v>85.938087326171214</v>
      </c>
      <c r="CG96" s="59">
        <f t="shared" si="170"/>
        <v>-50</v>
      </c>
      <c r="CH96">
        <f t="shared" si="171"/>
        <v>-50</v>
      </c>
    </row>
    <row r="97" spans="5:86" x14ac:dyDescent="0.25">
      <c r="E97" s="150">
        <v>92</v>
      </c>
      <c r="F97" s="191">
        <f t="shared" si="172"/>
        <v>9.2000000000000012E-2</v>
      </c>
      <c r="G97" s="191"/>
      <c r="H97" s="191">
        <f t="shared" si="120"/>
        <v>1.3800000000000001</v>
      </c>
      <c r="I97" s="472">
        <f t="shared" si="121"/>
        <v>15</v>
      </c>
      <c r="J97" s="152">
        <f t="shared" si="122"/>
        <v>15.32</v>
      </c>
      <c r="K97" s="386">
        <f t="shared" si="123"/>
        <v>30.32</v>
      </c>
      <c r="L97" s="386"/>
      <c r="M97" s="191">
        <f t="shared" si="124"/>
        <v>0.50527704485488123</v>
      </c>
      <c r="N97" s="152">
        <f t="shared" si="125"/>
        <v>2.5579650395778364</v>
      </c>
      <c r="O97" s="152">
        <f t="shared" si="173"/>
        <v>1.3800000000000001</v>
      </c>
      <c r="P97" s="191">
        <f t="shared" si="126"/>
        <v>0.17053100263852242</v>
      </c>
      <c r="Q97" s="191">
        <f t="shared" si="127"/>
        <v>15</v>
      </c>
      <c r="R97" s="191">
        <f t="shared" si="128"/>
        <v>0.18947889182058048</v>
      </c>
      <c r="S97" s="152">
        <f t="shared" si="129"/>
        <v>40.145792620084876</v>
      </c>
      <c r="T97" s="467">
        <f t="shared" si="130"/>
        <v>15</v>
      </c>
      <c r="U97" s="191">
        <f t="shared" si="131"/>
        <v>0.40461850884827394</v>
      </c>
      <c r="V97" s="191">
        <f t="shared" si="132"/>
        <v>1.267804661057925</v>
      </c>
      <c r="W97" s="191">
        <f t="shared" si="133"/>
        <v>1.2413231015580206</v>
      </c>
      <c r="X97" s="175">
        <f t="shared" si="134"/>
        <v>350</v>
      </c>
      <c r="Y97" s="386">
        <f t="shared" si="174"/>
        <v>350</v>
      </c>
      <c r="AA97" s="191">
        <f t="shared" si="135"/>
        <v>0.46073894667618365</v>
      </c>
      <c r="AB97" s="153">
        <f t="shared" si="136"/>
        <v>1.4134941575574826</v>
      </c>
      <c r="AC97" s="153">
        <f t="shared" si="137"/>
        <v>0.11396906662504547</v>
      </c>
      <c r="AD97" s="153"/>
      <c r="AE97" s="153">
        <f t="shared" si="138"/>
        <v>0.46018276762402083</v>
      </c>
      <c r="AF97" s="317">
        <f t="shared" si="139"/>
        <v>2665.6075650118214</v>
      </c>
      <c r="AG97" s="463">
        <f t="shared" si="140"/>
        <v>1.2079797650130546E-2</v>
      </c>
      <c r="AI97" s="153">
        <f t="shared" si="141"/>
        <v>0.43634910376668262</v>
      </c>
      <c r="AJ97" s="153">
        <f t="shared" si="142"/>
        <v>0.43634910376668262</v>
      </c>
      <c r="AK97" s="153">
        <f t="shared" si="143"/>
        <v>1.3908994025111219</v>
      </c>
      <c r="AM97" s="317">
        <f t="shared" si="144"/>
        <v>92.000000000000014</v>
      </c>
      <c r="AN97" s="147">
        <f t="shared" si="145"/>
        <v>350</v>
      </c>
      <c r="AP97">
        <f t="shared" si="146"/>
        <v>92.000000000000014</v>
      </c>
      <c r="AQ97">
        <f t="shared" si="147"/>
        <v>350</v>
      </c>
      <c r="AS97" s="5">
        <f t="shared" si="175"/>
        <v>2.8571428571428572</v>
      </c>
      <c r="AT97" s="5">
        <f t="shared" si="148"/>
        <v>1.3672271918022723</v>
      </c>
      <c r="AU97" s="5">
        <f t="shared" si="176"/>
        <v>1.4899156653405849</v>
      </c>
      <c r="AV97" s="5">
        <f t="shared" si="149"/>
        <v>1.3386689214774206</v>
      </c>
      <c r="AW97" s="153">
        <f t="shared" si="177"/>
        <v>0.47852951713079528</v>
      </c>
      <c r="AX97" s="153">
        <f t="shared" si="150"/>
        <v>1.5660444444444441</v>
      </c>
      <c r="AY97" s="153">
        <f t="shared" si="151"/>
        <v>0.11377158892037835</v>
      </c>
      <c r="AZ97" s="153">
        <f t="shared" si="178"/>
        <v>13.764811226644827</v>
      </c>
      <c r="BA97" s="147">
        <f t="shared" si="152"/>
        <v>3.3279803794703455</v>
      </c>
      <c r="BB97" s="147">
        <f t="shared" si="153"/>
        <v>12.552116784545182</v>
      </c>
      <c r="BC97" s="5">
        <f t="shared" si="154"/>
        <v>0.20306998697975379</v>
      </c>
      <c r="BD97" s="147">
        <f t="shared" si="155"/>
        <v>15.5369156901482</v>
      </c>
      <c r="BE97" s="5"/>
      <c r="BF97" s="153">
        <f t="shared" si="179"/>
        <v>0.17427208481657841</v>
      </c>
      <c r="BG97" s="153">
        <f t="shared" si="156"/>
        <v>0.18192330043092067</v>
      </c>
      <c r="BH97" s="153"/>
      <c r="BI97" s="463">
        <f t="shared" si="157"/>
        <v>1.0629765841210843E-2</v>
      </c>
      <c r="BJ97" s="463">
        <f t="shared" si="158"/>
        <v>2.3152683445860179E-2</v>
      </c>
      <c r="BK97" s="463">
        <f t="shared" si="159"/>
        <v>4.3749999999999995E-3</v>
      </c>
      <c r="BL97" s="463">
        <f t="shared" si="160"/>
        <v>1.6087792E-2</v>
      </c>
      <c r="BM97">
        <f t="shared" si="161"/>
        <v>4.3499999999999997E-3</v>
      </c>
      <c r="BN97">
        <f t="shared" si="162"/>
        <v>8.7499999999999992E-6</v>
      </c>
      <c r="BO97" s="463">
        <f t="shared" si="163"/>
        <v>6.0156989069171482E-2</v>
      </c>
      <c r="BP97" s="147">
        <f t="shared" si="180"/>
        <v>60.15698906917148</v>
      </c>
      <c r="BQ97" s="463">
        <f t="shared" si="164"/>
        <v>6.0429410651114776E-2</v>
      </c>
      <c r="BR97" s="463"/>
      <c r="BT97" s="147">
        <f t="shared" si="181"/>
        <v>60.429410651114779</v>
      </c>
      <c r="BU97" s="463">
        <f t="shared" si="165"/>
        <v>3.0370759546316697E-2</v>
      </c>
      <c r="BV97" s="463">
        <f t="shared" si="166"/>
        <v>3.3096087239679023E-2</v>
      </c>
      <c r="BW97" s="463">
        <f t="shared" si="167"/>
        <v>0</v>
      </c>
      <c r="BX97" s="463">
        <f t="shared" si="168"/>
        <v>7.1445622671324108E-2</v>
      </c>
      <c r="BY97" s="463">
        <f t="shared" si="169"/>
        <v>3.3320094562647756E-2</v>
      </c>
      <c r="BZ97" s="147">
        <f t="shared" si="182"/>
        <v>104.76571723397187</v>
      </c>
      <c r="CA97" s="153">
        <f t="shared" si="183"/>
        <v>0.22535211695425814</v>
      </c>
      <c r="CB97" s="5">
        <f t="shared" si="184"/>
        <v>1.3800000000000001</v>
      </c>
      <c r="CC97" s="153">
        <f t="shared" si="185"/>
        <v>0.8596244932346645</v>
      </c>
      <c r="CD97" s="5">
        <f t="shared" si="186"/>
        <v>85.962449323466444</v>
      </c>
      <c r="CG97" s="59">
        <f t="shared" si="170"/>
        <v>-50</v>
      </c>
      <c r="CH97">
        <f t="shared" si="171"/>
        <v>-50</v>
      </c>
    </row>
    <row r="98" spans="5:86" x14ac:dyDescent="0.25">
      <c r="E98" s="150">
        <v>93</v>
      </c>
      <c r="F98" s="191">
        <f t="shared" si="172"/>
        <v>9.3000000000000013E-2</v>
      </c>
      <c r="G98" s="191"/>
      <c r="H98" s="191">
        <f t="shared" si="120"/>
        <v>1.3950000000000002</v>
      </c>
      <c r="I98" s="472">
        <f t="shared" si="121"/>
        <v>15</v>
      </c>
      <c r="J98" s="152">
        <f t="shared" si="122"/>
        <v>15.32</v>
      </c>
      <c r="K98" s="386">
        <f t="shared" si="123"/>
        <v>30.32</v>
      </c>
      <c r="L98" s="386"/>
      <c r="M98" s="191">
        <f t="shared" si="124"/>
        <v>0.50527704485488123</v>
      </c>
      <c r="N98" s="152">
        <f t="shared" si="125"/>
        <v>2.5579650395778364</v>
      </c>
      <c r="O98" s="152">
        <f t="shared" si="173"/>
        <v>1.3950000000000002</v>
      </c>
      <c r="P98" s="191">
        <f t="shared" si="126"/>
        <v>0.17053100263852242</v>
      </c>
      <c r="Q98" s="191">
        <f t="shared" si="127"/>
        <v>15</v>
      </c>
      <c r="R98" s="191">
        <f t="shared" si="128"/>
        <v>0.18947889182058048</v>
      </c>
      <c r="S98" s="152">
        <f t="shared" si="129"/>
        <v>39.555857458044834</v>
      </c>
      <c r="T98" s="467">
        <f t="shared" si="130"/>
        <v>15</v>
      </c>
      <c r="U98" s="191">
        <f t="shared" si="131"/>
        <v>0.40901653611836392</v>
      </c>
      <c r="V98" s="191">
        <f t="shared" si="132"/>
        <v>1.281585146504207</v>
      </c>
      <c r="W98" s="191">
        <f t="shared" si="133"/>
        <v>1.2548157439662602</v>
      </c>
      <c r="X98" s="175">
        <f t="shared" si="134"/>
        <v>350</v>
      </c>
      <c r="Y98" s="386">
        <f t="shared" si="174"/>
        <v>350</v>
      </c>
      <c r="AA98" s="191">
        <f t="shared" si="135"/>
        <v>0.46073894667618365</v>
      </c>
      <c r="AB98" s="153">
        <f t="shared" si="136"/>
        <v>1.4134941575574826</v>
      </c>
      <c r="AC98" s="153">
        <f t="shared" si="137"/>
        <v>0.11396906662504547</v>
      </c>
      <c r="AD98" s="153"/>
      <c r="AE98" s="153">
        <f t="shared" si="138"/>
        <v>0.46018276762402083</v>
      </c>
      <c r="AF98" s="317">
        <f t="shared" si="139"/>
        <v>2694.5815602836888</v>
      </c>
      <c r="AG98" s="463">
        <f t="shared" si="140"/>
        <v>1.2079797650130546E-2</v>
      </c>
      <c r="AI98" s="153">
        <f t="shared" si="141"/>
        <v>0.4387141568821718</v>
      </c>
      <c r="AJ98" s="153">
        <f t="shared" si="142"/>
        <v>0.4387141568821718</v>
      </c>
      <c r="AK98" s="153">
        <f t="shared" si="143"/>
        <v>1.3924761045881144</v>
      </c>
      <c r="AM98" s="317">
        <f t="shared" si="144"/>
        <v>93.000000000000014</v>
      </c>
      <c r="AN98" s="147">
        <f t="shared" si="145"/>
        <v>350</v>
      </c>
      <c r="AP98">
        <f t="shared" si="146"/>
        <v>93.000000000000014</v>
      </c>
      <c r="AQ98">
        <f t="shared" si="147"/>
        <v>350</v>
      </c>
      <c r="AS98" s="5">
        <f t="shared" si="175"/>
        <v>2.8571428571428572</v>
      </c>
      <c r="AT98" s="5">
        <f t="shared" si="148"/>
        <v>1.3746376915641383</v>
      </c>
      <c r="AU98" s="5">
        <f t="shared" si="176"/>
        <v>1.4825051655787189</v>
      </c>
      <c r="AV98" s="5">
        <f t="shared" si="149"/>
        <v>1.3459246327325112</v>
      </c>
      <c r="AW98" s="153">
        <f t="shared" si="177"/>
        <v>0.48112319204744841</v>
      </c>
      <c r="AX98" s="153">
        <f t="shared" si="150"/>
        <v>1.5830666666666666</v>
      </c>
      <c r="AY98" s="153">
        <f t="shared" si="151"/>
        <v>0.11381930066330813</v>
      </c>
      <c r="AZ98" s="153">
        <f t="shared" si="178"/>
        <v>13.908595971342136</v>
      </c>
      <c r="BA98" s="147">
        <f t="shared" si="152"/>
        <v>3.3279803794703455</v>
      </c>
      <c r="BB98" s="147">
        <f t="shared" si="153"/>
        <v>12.823439280426664</v>
      </c>
      <c r="BC98" s="5">
        <f t="shared" si="154"/>
        <v>0.20425626725751242</v>
      </c>
      <c r="BD98" s="147">
        <f t="shared" si="155"/>
        <v>15.629220044313431</v>
      </c>
      <c r="BE98" s="5"/>
      <c r="BF98" s="153">
        <f t="shared" si="179"/>
        <v>0.17569085955544336</v>
      </c>
      <c r="BG98" s="153">
        <f t="shared" si="156"/>
        <v>0.18245390016370647</v>
      </c>
      <c r="BH98" s="153"/>
      <c r="BI98" s="463">
        <f t="shared" si="157"/>
        <v>1.0803547345965683E-2</v>
      </c>
      <c r="BJ98" s="463">
        <f t="shared" si="158"/>
        <v>2.3278173164168039E-2</v>
      </c>
      <c r="BK98" s="463">
        <f t="shared" si="159"/>
        <v>4.3749999999999995E-3</v>
      </c>
      <c r="BL98" s="463">
        <f t="shared" si="160"/>
        <v>1.6087792E-2</v>
      </c>
      <c r="BM98">
        <f t="shared" si="161"/>
        <v>4.3499999999999997E-3</v>
      </c>
      <c r="BN98">
        <f t="shared" si="162"/>
        <v>8.7499999999999992E-6</v>
      </c>
      <c r="BO98" s="463">
        <f t="shared" si="163"/>
        <v>6.0482298013637886E-2</v>
      </c>
      <c r="BP98" s="147">
        <f t="shared" si="180"/>
        <v>60.482298013637887</v>
      </c>
      <c r="BQ98" s="463">
        <f t="shared" si="164"/>
        <v>6.0959121223300106E-2</v>
      </c>
      <c r="BR98" s="463"/>
      <c r="BT98" s="147">
        <f t="shared" si="181"/>
        <v>60.959121223300109</v>
      </c>
      <c r="BU98" s="463">
        <f t="shared" si="165"/>
        <v>3.0867278131330524E-2</v>
      </c>
      <c r="BV98" s="463">
        <f t="shared" si="166"/>
        <v>3.328942568494777E-2</v>
      </c>
      <c r="BW98" s="463">
        <f t="shared" si="167"/>
        <v>0</v>
      </c>
      <c r="BX98" s="463">
        <f t="shared" si="168"/>
        <v>7.2226211929152531E-2</v>
      </c>
      <c r="BY98" s="463">
        <f t="shared" si="169"/>
        <v>3.3682269503546101E-2</v>
      </c>
      <c r="BZ98" s="147">
        <f t="shared" si="182"/>
        <v>105.90848143269862</v>
      </c>
      <c r="CA98" s="153">
        <f t="shared" si="183"/>
        <v>0.22734990066963665</v>
      </c>
      <c r="CB98" s="5">
        <f t="shared" si="184"/>
        <v>1.3950000000000002</v>
      </c>
      <c r="CC98" s="153">
        <f t="shared" si="185"/>
        <v>0.85986383049932924</v>
      </c>
      <c r="CD98" s="5">
        <f t="shared" si="186"/>
        <v>85.986383049932925</v>
      </c>
      <c r="CG98" s="59">
        <f t="shared" si="170"/>
        <v>-50</v>
      </c>
      <c r="CH98">
        <f t="shared" si="171"/>
        <v>-50</v>
      </c>
    </row>
    <row r="99" spans="5:86" x14ac:dyDescent="0.25">
      <c r="E99" s="150">
        <v>94</v>
      </c>
      <c r="F99" s="191">
        <f t="shared" si="172"/>
        <v>9.4E-2</v>
      </c>
      <c r="G99" s="191"/>
      <c r="H99" s="191">
        <f t="shared" si="120"/>
        <v>1.41</v>
      </c>
      <c r="I99" s="472">
        <f t="shared" si="121"/>
        <v>15</v>
      </c>
      <c r="J99" s="152">
        <f t="shared" si="122"/>
        <v>15.32</v>
      </c>
      <c r="K99" s="386">
        <f t="shared" si="123"/>
        <v>30.32</v>
      </c>
      <c r="L99" s="386"/>
      <c r="M99" s="191">
        <f t="shared" si="124"/>
        <v>0.50527704485488123</v>
      </c>
      <c r="N99" s="152">
        <f t="shared" si="125"/>
        <v>2.5579650395778364</v>
      </c>
      <c r="O99" s="152">
        <f t="shared" si="173"/>
        <v>1.41</v>
      </c>
      <c r="P99" s="191">
        <f t="shared" si="126"/>
        <v>0.17053100263852242</v>
      </c>
      <c r="Q99" s="191">
        <f t="shared" si="127"/>
        <v>15</v>
      </c>
      <c r="R99" s="191">
        <f t="shared" si="128"/>
        <v>0.18947889182058048</v>
      </c>
      <c r="S99" s="152">
        <f t="shared" si="129"/>
        <v>38.978524967613723</v>
      </c>
      <c r="T99" s="467">
        <f t="shared" si="130"/>
        <v>15</v>
      </c>
      <c r="U99" s="191">
        <f t="shared" si="131"/>
        <v>0.41341456338845373</v>
      </c>
      <c r="V99" s="191">
        <f t="shared" si="132"/>
        <v>1.295365631950488</v>
      </c>
      <c r="W99" s="191">
        <f t="shared" si="133"/>
        <v>1.2683083863744988</v>
      </c>
      <c r="X99" s="175">
        <f t="shared" si="134"/>
        <v>350</v>
      </c>
      <c r="Y99" s="386">
        <f t="shared" si="174"/>
        <v>350</v>
      </c>
      <c r="AA99" s="191">
        <f t="shared" si="135"/>
        <v>0.46073894667618365</v>
      </c>
      <c r="AB99" s="153">
        <f t="shared" si="136"/>
        <v>1.4134941575574826</v>
      </c>
      <c r="AC99" s="153">
        <f t="shared" si="137"/>
        <v>0.11396906662504547</v>
      </c>
      <c r="AD99" s="153"/>
      <c r="AE99" s="153">
        <f t="shared" si="138"/>
        <v>0.46018276762402083</v>
      </c>
      <c r="AF99" s="317">
        <f t="shared" si="139"/>
        <v>2723.5555555555561</v>
      </c>
      <c r="AG99" s="463">
        <f t="shared" si="140"/>
        <v>1.2079797650130546E-2</v>
      </c>
      <c r="AI99" s="153">
        <f t="shared" si="141"/>
        <v>0.44106652847352007</v>
      </c>
      <c r="AJ99" s="153">
        <f t="shared" si="142"/>
        <v>0.44106652847352007</v>
      </c>
      <c r="AK99" s="153">
        <f t="shared" si="143"/>
        <v>1.39404435231568</v>
      </c>
      <c r="AM99" s="317">
        <f t="shared" si="144"/>
        <v>94</v>
      </c>
      <c r="AN99" s="147">
        <f t="shared" si="145"/>
        <v>350</v>
      </c>
      <c r="AP99">
        <f t="shared" si="146"/>
        <v>94</v>
      </c>
      <c r="AQ99">
        <f t="shared" si="147"/>
        <v>350</v>
      </c>
      <c r="AS99" s="5">
        <f t="shared" si="175"/>
        <v>2.8571428571428572</v>
      </c>
      <c r="AT99" s="5">
        <f t="shared" si="148"/>
        <v>1.382008455883696</v>
      </c>
      <c r="AU99" s="5">
        <f t="shared" si="176"/>
        <v>1.4751344012591612</v>
      </c>
      <c r="AV99" s="5">
        <f t="shared" si="149"/>
        <v>1.3531414385284231</v>
      </c>
      <c r="AW99" s="153">
        <f t="shared" si="177"/>
        <v>0.4837029595592936</v>
      </c>
      <c r="AX99" s="153">
        <f t="shared" si="150"/>
        <v>1.6000888888888884</v>
      </c>
      <c r="AY99" s="153">
        <f t="shared" si="151"/>
        <v>0.11386067164416748</v>
      </c>
      <c r="AZ99" s="153">
        <f t="shared" si="178"/>
        <v>14.053042773973949</v>
      </c>
      <c r="BA99" s="147">
        <f t="shared" si="152"/>
        <v>3.3279803794703455</v>
      </c>
      <c r="BB99" s="147">
        <f t="shared" si="153"/>
        <v>13.0976625600474</v>
      </c>
      <c r="BC99" s="5">
        <f t="shared" si="154"/>
        <v>0.20542612402720165</v>
      </c>
      <c r="BD99" s="147">
        <f t="shared" si="155"/>
        <v>15.720292635373459</v>
      </c>
      <c r="BE99" s="5"/>
      <c r="BF99" s="153">
        <f t="shared" si="179"/>
        <v>0.17710582542289025</v>
      </c>
      <c r="BG99" s="153">
        <f t="shared" si="156"/>
        <v>0.18297564714419662</v>
      </c>
      <c r="BH99" s="153"/>
      <c r="BI99" s="463">
        <f t="shared" si="157"/>
        <v>1.0978265689553146E-2</v>
      </c>
      <c r="BJ99" s="463">
        <f t="shared" si="158"/>
        <v>2.3402990000804976E-2</v>
      </c>
      <c r="BK99" s="463">
        <f t="shared" si="159"/>
        <v>4.3749999999999995E-3</v>
      </c>
      <c r="BL99" s="463">
        <f t="shared" si="160"/>
        <v>1.6087792E-2</v>
      </c>
      <c r="BM99">
        <f t="shared" si="161"/>
        <v>4.3499999999999997E-3</v>
      </c>
      <c r="BN99">
        <f t="shared" si="162"/>
        <v>8.7499999999999992E-6</v>
      </c>
      <c r="BO99" s="463">
        <f t="shared" si="163"/>
        <v>6.0808029615553087E-2</v>
      </c>
      <c r="BP99" s="147">
        <f t="shared" si="180"/>
        <v>60.808029615553089</v>
      </c>
      <c r="BQ99" s="463">
        <f t="shared" si="164"/>
        <v>6.1486786810147895E-2</v>
      </c>
      <c r="BR99" s="463"/>
      <c r="BT99" s="147">
        <f t="shared" si="181"/>
        <v>61.486786810147898</v>
      </c>
      <c r="BU99" s="463">
        <f t="shared" si="165"/>
        <v>3.1366473398723276E-2</v>
      </c>
      <c r="BV99" s="463">
        <f t="shared" si="166"/>
        <v>3.348008744783755E-2</v>
      </c>
      <c r="BW99" s="463">
        <f t="shared" si="167"/>
        <v>0</v>
      </c>
      <c r="BX99" s="463">
        <f t="shared" si="168"/>
        <v>7.3006887795479938E-2</v>
      </c>
      <c r="BY99" s="463">
        <f t="shared" si="169"/>
        <v>3.4044444444444447E-2</v>
      </c>
      <c r="BZ99" s="147">
        <f t="shared" si="182"/>
        <v>107.05133223992439</v>
      </c>
      <c r="CA99" s="153">
        <f t="shared" si="183"/>
        <v>0.22934614866562536</v>
      </c>
      <c r="CB99" s="5">
        <f t="shared" si="184"/>
        <v>1.41</v>
      </c>
      <c r="CC99" s="153">
        <f t="shared" si="185"/>
        <v>0.86009901029608316</v>
      </c>
      <c r="CD99" s="5">
        <f t="shared" si="186"/>
        <v>86.009901029608315</v>
      </c>
      <c r="CG99" s="59">
        <f t="shared" si="170"/>
        <v>-50</v>
      </c>
      <c r="CH99">
        <f t="shared" si="171"/>
        <v>-50</v>
      </c>
    </row>
    <row r="100" spans="5:86" x14ac:dyDescent="0.25">
      <c r="E100" s="150">
        <v>95</v>
      </c>
      <c r="F100" s="191">
        <f t="shared" si="172"/>
        <v>9.5000000000000001E-2</v>
      </c>
      <c r="G100" s="191"/>
      <c r="H100" s="191">
        <f t="shared" si="120"/>
        <v>1.425</v>
      </c>
      <c r="I100" s="472">
        <f t="shared" si="121"/>
        <v>15</v>
      </c>
      <c r="J100" s="152">
        <f t="shared" si="122"/>
        <v>15.32</v>
      </c>
      <c r="K100" s="386">
        <f t="shared" si="123"/>
        <v>30.32</v>
      </c>
      <c r="L100" s="386"/>
      <c r="M100" s="191">
        <f t="shared" si="124"/>
        <v>0.50527704485488123</v>
      </c>
      <c r="N100" s="152">
        <f t="shared" si="125"/>
        <v>2.5579650395778364</v>
      </c>
      <c r="O100" s="152">
        <f t="shared" si="173"/>
        <v>1.425</v>
      </c>
      <c r="P100" s="191">
        <f t="shared" si="126"/>
        <v>0.17053100263852242</v>
      </c>
      <c r="Q100" s="191">
        <f t="shared" si="127"/>
        <v>15</v>
      </c>
      <c r="R100" s="191">
        <f t="shared" si="128"/>
        <v>0.18947889182058048</v>
      </c>
      <c r="S100" s="152">
        <f t="shared" si="129"/>
        <v>38.413397746628156</v>
      </c>
      <c r="T100" s="467">
        <f t="shared" si="130"/>
        <v>15</v>
      </c>
      <c r="U100" s="191">
        <f t="shared" si="131"/>
        <v>0.4178125906585437</v>
      </c>
      <c r="V100" s="191">
        <f t="shared" si="132"/>
        <v>1.3091461173967702</v>
      </c>
      <c r="W100" s="191">
        <f t="shared" si="133"/>
        <v>1.2818010287827384</v>
      </c>
      <c r="X100" s="175">
        <f t="shared" si="134"/>
        <v>350</v>
      </c>
      <c r="Y100" s="386">
        <f t="shared" si="174"/>
        <v>350</v>
      </c>
      <c r="AA100" s="191">
        <f t="shared" si="135"/>
        <v>0.46073894667618365</v>
      </c>
      <c r="AB100" s="153">
        <f t="shared" si="136"/>
        <v>1.4134941575574826</v>
      </c>
      <c r="AC100" s="153">
        <f t="shared" si="137"/>
        <v>0.11396906662504547</v>
      </c>
      <c r="AD100" s="153"/>
      <c r="AE100" s="153">
        <f t="shared" si="138"/>
        <v>0.46018276762402083</v>
      </c>
      <c r="AF100" s="317">
        <f t="shared" si="139"/>
        <v>2752.5295508274239</v>
      </c>
      <c r="AG100" s="463">
        <f t="shared" si="140"/>
        <v>1.2079797650130546E-2</v>
      </c>
      <c r="AI100" s="153">
        <f t="shared" si="141"/>
        <v>0.44340642037585587</v>
      </c>
      <c r="AJ100" s="153">
        <f t="shared" si="142"/>
        <v>0.44340642037585587</v>
      </c>
      <c r="AK100" s="153">
        <f t="shared" si="143"/>
        <v>1.3956042802505706</v>
      </c>
      <c r="AM100" s="317">
        <f t="shared" si="144"/>
        <v>95</v>
      </c>
      <c r="AN100" s="147">
        <f t="shared" si="145"/>
        <v>350</v>
      </c>
      <c r="AP100">
        <f t="shared" si="146"/>
        <v>95</v>
      </c>
      <c r="AQ100">
        <f t="shared" si="147"/>
        <v>350</v>
      </c>
      <c r="AS100" s="5">
        <f t="shared" si="175"/>
        <v>2.8571428571428572</v>
      </c>
      <c r="AT100" s="5">
        <f t="shared" si="148"/>
        <v>1.3893401171776816</v>
      </c>
      <c r="AU100" s="5">
        <f t="shared" si="176"/>
        <v>1.4678027399651756</v>
      </c>
      <c r="AV100" s="5">
        <f t="shared" si="149"/>
        <v>1.3603199580721426</v>
      </c>
      <c r="AW100" s="153">
        <f t="shared" si="177"/>
        <v>0.48626904101218854</v>
      </c>
      <c r="AX100" s="153">
        <f t="shared" si="150"/>
        <v>1.6171111111111109</v>
      </c>
      <c r="AY100" s="153">
        <f t="shared" si="151"/>
        <v>0.11389580278052054</v>
      </c>
      <c r="AZ100" s="153">
        <f t="shared" si="178"/>
        <v>14.198162457551803</v>
      </c>
      <c r="BA100" s="147">
        <f t="shared" si="152"/>
        <v>3.3279803794703455</v>
      </c>
      <c r="BB100" s="147">
        <f t="shared" si="153"/>
        <v>13.374786623407402</v>
      </c>
      <c r="BC100" s="5">
        <f t="shared" si="154"/>
        <v>0.2065796448839877</v>
      </c>
      <c r="BD100" s="147">
        <f t="shared" si="155"/>
        <v>15.810140032965744</v>
      </c>
      <c r="BE100" s="5"/>
      <c r="BF100" s="153">
        <f t="shared" si="179"/>
        <v>0.17851703300342714</v>
      </c>
      <c r="BG100" s="153">
        <f t="shared" si="156"/>
        <v>0.18348865579238602</v>
      </c>
      <c r="BH100" s="153"/>
      <c r="BI100" s="463">
        <f t="shared" si="157"/>
        <v>1.1153915875321344E-2</v>
      </c>
      <c r="BJ100" s="463">
        <f t="shared" si="158"/>
        <v>2.3527144665142913E-2</v>
      </c>
      <c r="BK100" s="463">
        <f t="shared" si="159"/>
        <v>4.3749999999999995E-3</v>
      </c>
      <c r="BL100" s="463">
        <f t="shared" si="160"/>
        <v>1.6087792E-2</v>
      </c>
      <c r="BM100">
        <f t="shared" si="161"/>
        <v>4.3499999999999997E-3</v>
      </c>
      <c r="BN100">
        <f t="shared" si="162"/>
        <v>8.7499999999999992E-6</v>
      </c>
      <c r="BO100" s="463">
        <f t="shared" si="163"/>
        <v>6.1134189077215149E-2</v>
      </c>
      <c r="BP100" s="147">
        <f t="shared" si="180"/>
        <v>61.134189077215147</v>
      </c>
      <c r="BQ100" s="463">
        <f t="shared" si="164"/>
        <v>6.2012418318635493E-2</v>
      </c>
      <c r="BR100" s="463"/>
      <c r="BT100" s="147">
        <f t="shared" si="181"/>
        <v>62.01241831863549</v>
      </c>
      <c r="BU100" s="463">
        <f t="shared" si="165"/>
        <v>3.1868331072346698E-2</v>
      </c>
      <c r="BV100" s="463">
        <f t="shared" si="166"/>
        <v>3.3668086804496712E-2</v>
      </c>
      <c r="BW100" s="463">
        <f t="shared" si="167"/>
        <v>0</v>
      </c>
      <c r="BX100" s="463">
        <f t="shared" si="168"/>
        <v>7.3787650284721423E-2</v>
      </c>
      <c r="BY100" s="463">
        <f t="shared" si="169"/>
        <v>3.4406619385342792E-2</v>
      </c>
      <c r="BZ100" s="147">
        <f t="shared" si="182"/>
        <v>108.1942696700642</v>
      </c>
      <c r="CA100" s="153">
        <f t="shared" si="183"/>
        <v>0.23134087706591486</v>
      </c>
      <c r="CB100" s="5">
        <f t="shared" si="184"/>
        <v>1.425</v>
      </c>
      <c r="CC100" s="153">
        <f t="shared" si="185"/>
        <v>0.86033015288753956</v>
      </c>
      <c r="CD100" s="5">
        <f t="shared" si="186"/>
        <v>86.033015288753958</v>
      </c>
      <c r="CG100" s="59">
        <f t="shared" si="170"/>
        <v>-50</v>
      </c>
      <c r="CH100">
        <f t="shared" si="171"/>
        <v>-50</v>
      </c>
    </row>
    <row r="101" spans="5:86" x14ac:dyDescent="0.25">
      <c r="E101" s="150">
        <v>96</v>
      </c>
      <c r="F101" s="191">
        <f t="shared" si="172"/>
        <v>9.6000000000000002E-2</v>
      </c>
      <c r="G101" s="191"/>
      <c r="H101" s="191">
        <f t="shared" ref="H101:H105" si="187">F101*Vout</f>
        <v>1.44</v>
      </c>
      <c r="I101" s="472">
        <f t="shared" si="121"/>
        <v>15</v>
      </c>
      <c r="J101" s="152">
        <f t="shared" si="122"/>
        <v>15.32</v>
      </c>
      <c r="K101" s="386">
        <f t="shared" si="123"/>
        <v>30.32</v>
      </c>
      <c r="L101" s="386"/>
      <c r="M101" s="191">
        <f t="shared" si="124"/>
        <v>0.50527704485488123</v>
      </c>
      <c r="N101" s="152">
        <f t="shared" ref="N101:N105" si="188">M101*I101*Isw_max*0.5*Efficiency</f>
        <v>2.5579650395778364</v>
      </c>
      <c r="O101" s="152">
        <f t="shared" si="173"/>
        <v>1.44</v>
      </c>
      <c r="P101" s="191">
        <f t="shared" ref="P101:P105" si="189">N101/Vout</f>
        <v>0.17053100263852242</v>
      </c>
      <c r="Q101" s="191">
        <f t="shared" si="127"/>
        <v>15</v>
      </c>
      <c r="R101" s="191">
        <f t="shared" ref="R101:R105" si="190">Isw_max/2*I101*Nps*(Q101+Vfwd1)/Q101/(I101+Nps*(Q101+Vfwd1))</f>
        <v>0.18947889182058048</v>
      </c>
      <c r="S101" s="152">
        <f t="shared" si="129"/>
        <v>37.860094959708476</v>
      </c>
      <c r="T101" s="467">
        <f t="shared" ref="T101:T105" si="191">MIN(Vout, S101)</f>
        <v>15</v>
      </c>
      <c r="U101" s="191">
        <f t="shared" si="131"/>
        <v>0.42221061792863362</v>
      </c>
      <c r="V101" s="191">
        <f t="shared" ref="V101:V105" si="192">L*U101/I101*1000000</f>
        <v>1.322926602843052</v>
      </c>
      <c r="W101" s="191">
        <f t="shared" si="133"/>
        <v>1.2952936711909777</v>
      </c>
      <c r="X101" s="175">
        <f t="shared" si="134"/>
        <v>350</v>
      </c>
      <c r="Y101" s="386">
        <f t="shared" si="174"/>
        <v>350</v>
      </c>
      <c r="AA101" s="191">
        <f t="shared" si="135"/>
        <v>0.46073894667618365</v>
      </c>
      <c r="AB101" s="153">
        <f t="shared" ref="AB101:AB105" si="193">L*AA101/J101*1000000</f>
        <v>1.4134941575574826</v>
      </c>
      <c r="AC101" s="153">
        <f t="shared" ref="AC101:AC105" si="194">0.5*AB101*AA101*Nps*X101/1000</f>
        <v>0.11396906662504547</v>
      </c>
      <c r="AD101" s="153"/>
      <c r="AE101" s="153">
        <f t="shared" si="138"/>
        <v>0.46018276762402083</v>
      </c>
      <c r="AF101" s="317">
        <f t="shared" ref="AF101:AF105" si="195">MAX(12, F101/(0.5*AE101/1000000*Isw_min*Nps)/1000)</f>
        <v>2781.5035460992917</v>
      </c>
      <c r="AG101" s="463">
        <f t="shared" si="140"/>
        <v>1.2079797650130546E-2</v>
      </c>
      <c r="AI101" s="153">
        <f t="shared" si="141"/>
        <v>0.44573402912653853</v>
      </c>
      <c r="AJ101" s="153">
        <f t="shared" ref="AJ101:AJ105" si="196">MAX(IF(F101&gt;AC101,U101,AI101),Isw_min)</f>
        <v>0.44573402912653853</v>
      </c>
      <c r="AK101" s="153">
        <f t="shared" ref="AK101:AK105" si="197">IF(F101&gt;AG101, (AJ101-Isw_min)/1.2*0.8+1.2, AF101*0.2/350+1)</f>
        <v>1.3971560194176924</v>
      </c>
      <c r="AM101" s="317">
        <f t="shared" si="144"/>
        <v>96</v>
      </c>
      <c r="AN101" s="147">
        <f t="shared" si="145"/>
        <v>350</v>
      </c>
      <c r="AP101">
        <f t="shared" si="146"/>
        <v>96</v>
      </c>
      <c r="AQ101">
        <f t="shared" si="147"/>
        <v>350</v>
      </c>
      <c r="AS101" s="5">
        <f t="shared" si="175"/>
        <v>2.8571428571428572</v>
      </c>
      <c r="AT101" s="5">
        <f t="shared" si="148"/>
        <v>1.3966332912631538</v>
      </c>
      <c r="AU101" s="5">
        <f t="shared" si="176"/>
        <v>1.4605095658797034</v>
      </c>
      <c r="AV101" s="5">
        <f t="shared" si="149"/>
        <v>1.3674607943177095</v>
      </c>
      <c r="AW101" s="153">
        <f t="shared" si="177"/>
        <v>0.48882165194210381</v>
      </c>
      <c r="AX101" s="153">
        <f t="shared" si="150"/>
        <v>1.634133333333333</v>
      </c>
      <c r="AY101" s="153">
        <f t="shared" si="151"/>
        <v>0.11392479234104708</v>
      </c>
      <c r="AZ101" s="153">
        <f t="shared" si="178"/>
        <v>14.343965872163851</v>
      </c>
      <c r="BA101" s="147">
        <f t="shared" si="152"/>
        <v>3.3279803794703455</v>
      </c>
      <c r="BB101" s="147">
        <f t="shared" si="153"/>
        <v>13.654811470506662</v>
      </c>
      <c r="BC101" s="5">
        <f t="shared" si="154"/>
        <v>0.20771691603622447</v>
      </c>
      <c r="BD101" s="147">
        <f t="shared" si="155"/>
        <v>15.898768702716836</v>
      </c>
      <c r="BE101" s="5"/>
      <c r="BF101" s="153">
        <f t="shared" si="179"/>
        <v>0.17992453168501846</v>
      </c>
      <c r="BG101" s="153">
        <f t="shared" si="156"/>
        <v>0.18399303738199646</v>
      </c>
      <c r="BH101" s="153"/>
      <c r="BI101" s="463">
        <f t="shared" si="157"/>
        <v>1.1330492985725624E-2</v>
      </c>
      <c r="BJ101" s="463">
        <f t="shared" si="158"/>
        <v>2.3650647585454137E-2</v>
      </c>
      <c r="BK101" s="463">
        <f t="shared" si="159"/>
        <v>4.3749999999999995E-3</v>
      </c>
      <c r="BL101" s="463">
        <f t="shared" si="160"/>
        <v>1.6087792E-2</v>
      </c>
      <c r="BM101">
        <f t="shared" si="161"/>
        <v>4.3499999999999997E-3</v>
      </c>
      <c r="BN101">
        <f t="shared" si="162"/>
        <v>8.7499999999999992E-6</v>
      </c>
      <c r="BO101" s="463">
        <f t="shared" ref="BO101:BO105" si="198">(BJ101+BK101+BL101+BM101+BN101+BI101*(1+RdsonTC*(Ta-25)))/(1-BI101*RdsonTC*ThetaJA)</f>
        <v>6.1460781410019129E-2</v>
      </c>
      <c r="BP101" s="147">
        <f t="shared" si="180"/>
        <v>61.460781410019131</v>
      </c>
      <c r="BQ101" s="463">
        <f t="shared" si="164"/>
        <v>6.2536026483060309E-2</v>
      </c>
      <c r="BR101" s="463"/>
      <c r="BT101" s="147">
        <f t="shared" si="181"/>
        <v>62.536026483060311</v>
      </c>
      <c r="BU101" s="463">
        <f t="shared" si="165"/>
        <v>3.2372837102073213E-2</v>
      </c>
      <c r="BV101" s="463">
        <f t="shared" si="166"/>
        <v>3.3853437805052747E-2</v>
      </c>
      <c r="BW101" s="463">
        <f t="shared" si="167"/>
        <v>0</v>
      </c>
      <c r="BX101" s="463">
        <f t="shared" ref="BX101:BX105" si="199">(BW101+(BU101+BV101)*(1+Ltc*(Ta-25)))/(1-(BU101+BV101)*Ltc*ThetaCa)</f>
        <v>7.4568499411295022E-2</v>
      </c>
      <c r="BY101" s="463">
        <f t="shared" si="169"/>
        <v>3.4768794326241137E-2</v>
      </c>
      <c r="BZ101" s="147">
        <f t="shared" si="182"/>
        <v>109.33729373753616</v>
      </c>
      <c r="CA101" s="153">
        <f t="shared" si="183"/>
        <v>0.23333410163061558</v>
      </c>
      <c r="CB101" s="5">
        <f t="shared" si="184"/>
        <v>1.44</v>
      </c>
      <c r="CC101" s="153">
        <f t="shared" si="185"/>
        <v>0.86055737380643926</v>
      </c>
      <c r="CD101" s="5">
        <f t="shared" si="186"/>
        <v>86.055737380643933</v>
      </c>
      <c r="CG101" s="59">
        <f t="shared" si="170"/>
        <v>-50</v>
      </c>
      <c r="CH101">
        <f t="shared" si="171"/>
        <v>-50</v>
      </c>
    </row>
    <row r="102" spans="5:86" x14ac:dyDescent="0.25">
      <c r="E102" s="150">
        <v>97</v>
      </c>
      <c r="F102" s="191">
        <f t="shared" ref="F102:F105" si="200">IF(PLOT_TYPE=1, E102/100*Iout_max, min_I*EXP(N102*rr/100))</f>
        <v>9.7000000000000003E-2</v>
      </c>
      <c r="G102" s="191"/>
      <c r="H102" s="191">
        <f t="shared" si="187"/>
        <v>1.4550000000000001</v>
      </c>
      <c r="I102" s="472">
        <f t="shared" si="121"/>
        <v>15</v>
      </c>
      <c r="J102" s="152">
        <f t="shared" si="122"/>
        <v>15.32</v>
      </c>
      <c r="K102" s="386">
        <f t="shared" si="123"/>
        <v>30.32</v>
      </c>
      <c r="L102" s="386"/>
      <c r="M102" s="191">
        <f t="shared" si="124"/>
        <v>0.50527704485488123</v>
      </c>
      <c r="N102" s="152">
        <f t="shared" si="188"/>
        <v>2.5579650395778364</v>
      </c>
      <c r="O102" s="152">
        <f t="shared" si="173"/>
        <v>1.4550000000000001</v>
      </c>
      <c r="P102" s="191">
        <f t="shared" si="189"/>
        <v>0.17053100263852242</v>
      </c>
      <c r="Q102" s="191">
        <f t="shared" si="127"/>
        <v>15</v>
      </c>
      <c r="R102" s="191">
        <f t="shared" si="190"/>
        <v>0.18947889182058048</v>
      </c>
      <c r="S102" s="152">
        <f t="shared" si="129"/>
        <v>37.318251484444687</v>
      </c>
      <c r="T102" s="467">
        <f t="shared" si="191"/>
        <v>15</v>
      </c>
      <c r="U102" s="191">
        <f t="shared" si="131"/>
        <v>0.4266086451987236</v>
      </c>
      <c r="V102" s="191">
        <f t="shared" si="192"/>
        <v>1.3367070882893339</v>
      </c>
      <c r="W102" s="191">
        <f t="shared" si="133"/>
        <v>1.3087863135992173</v>
      </c>
      <c r="X102" s="175">
        <f t="shared" si="134"/>
        <v>350</v>
      </c>
      <c r="Y102" s="386">
        <f t="shared" si="174"/>
        <v>350</v>
      </c>
      <c r="AA102" s="191">
        <f t="shared" si="135"/>
        <v>0.46073894667618365</v>
      </c>
      <c r="AB102" s="153">
        <f t="shared" si="193"/>
        <v>1.4134941575574826</v>
      </c>
      <c r="AC102" s="153">
        <f t="shared" si="194"/>
        <v>0.11396906662504547</v>
      </c>
      <c r="AD102" s="153"/>
      <c r="AE102" s="153">
        <f t="shared" si="138"/>
        <v>0.46018276762402083</v>
      </c>
      <c r="AF102" s="317">
        <f t="shared" si="195"/>
        <v>2810.4775413711591</v>
      </c>
      <c r="AG102" s="463">
        <f t="shared" si="140"/>
        <v>1.2079797650130546E-2</v>
      </c>
      <c r="AI102" s="153">
        <f t="shared" si="141"/>
        <v>0.44804954615781678</v>
      </c>
      <c r="AJ102" s="153">
        <f t="shared" si="196"/>
        <v>0.44804954615781678</v>
      </c>
      <c r="AK102" s="153">
        <f t="shared" si="197"/>
        <v>1.3986996974385444</v>
      </c>
      <c r="AM102" s="317">
        <f t="shared" si="144"/>
        <v>97</v>
      </c>
      <c r="AN102" s="147">
        <f t="shared" si="145"/>
        <v>350</v>
      </c>
      <c r="AP102">
        <f t="shared" si="146"/>
        <v>97</v>
      </c>
      <c r="AQ102">
        <f t="shared" si="147"/>
        <v>350</v>
      </c>
      <c r="AS102" s="5">
        <f t="shared" si="175"/>
        <v>2.8571428571428572</v>
      </c>
      <c r="AT102" s="5">
        <f t="shared" si="148"/>
        <v>1.4038885779611592</v>
      </c>
      <c r="AU102" s="5">
        <f t="shared" si="176"/>
        <v>1.453254279181698</v>
      </c>
      <c r="AV102" s="5">
        <f t="shared" si="149"/>
        <v>1.3745645345572706</v>
      </c>
      <c r="AW102" s="153">
        <f t="shared" si="177"/>
        <v>0.49136100228640572</v>
      </c>
      <c r="AX102" s="153">
        <f t="shared" si="150"/>
        <v>1.6511555555555555</v>
      </c>
      <c r="AY102" s="153">
        <f t="shared" si="151"/>
        <v>0.11394773604187138</v>
      </c>
      <c r="AZ102" s="153">
        <f t="shared" si="178"/>
        <v>14.49046389959709</v>
      </c>
      <c r="BA102" s="147">
        <f t="shared" si="152"/>
        <v>3.3279803794703455</v>
      </c>
      <c r="BB102" s="147">
        <f t="shared" si="153"/>
        <v>13.937737101345183</v>
      </c>
      <c r="BC102" s="5">
        <f t="shared" si="154"/>
        <v>0.20883802234166624</v>
      </c>
      <c r="BD102" s="147">
        <f t="shared" si="155"/>
        <v>15.9861850089583</v>
      </c>
      <c r="BE102" s="5"/>
      <c r="BF102" s="153">
        <f t="shared" si="179"/>
        <v>0.18132836969954377</v>
      </c>
      <c r="BG102" s="153">
        <f t="shared" si="156"/>
        <v>0.18448890015259486</v>
      </c>
      <c r="BH102" s="153"/>
      <c r="BI102" s="463">
        <f t="shared" si="157"/>
        <v>1.1507992180263047E-2</v>
      </c>
      <c r="BJ102" s="463">
        <f t="shared" si="158"/>
        <v>2.3773508919133757E-2</v>
      </c>
      <c r="BK102" s="463">
        <f t="shared" si="159"/>
        <v>4.3749999999999995E-3</v>
      </c>
      <c r="BL102" s="463">
        <f t="shared" si="160"/>
        <v>1.6087792E-2</v>
      </c>
      <c r="BM102">
        <f t="shared" si="161"/>
        <v>4.3499999999999997E-3</v>
      </c>
      <c r="BN102">
        <f t="shared" si="162"/>
        <v>8.7499999999999992E-6</v>
      </c>
      <c r="BO102" s="463">
        <f t="shared" si="198"/>
        <v>6.1787811442325924E-2</v>
      </c>
      <c r="BP102" s="147">
        <f t="shared" si="180"/>
        <v>61.787811442325925</v>
      </c>
      <c r="BQ102" s="463">
        <f t="shared" si="164"/>
        <v>6.3057621869548788E-2</v>
      </c>
      <c r="BR102" s="463"/>
      <c r="BT102" s="147">
        <f t="shared" si="181"/>
        <v>63.05762186954879</v>
      </c>
      <c r="BU102" s="463">
        <f t="shared" si="165"/>
        <v>3.2879977657894424E-2</v>
      </c>
      <c r="BV102" s="463">
        <f t="shared" si="166"/>
        <v>3.4036154279514119E-2</v>
      </c>
      <c r="BW102" s="463">
        <f t="shared" si="167"/>
        <v>0</v>
      </c>
      <c r="BX102" s="463">
        <f t="shared" si="199"/>
        <v>7.5349435189622213E-2</v>
      </c>
      <c r="BY102" s="463">
        <f t="shared" si="169"/>
        <v>3.5130969267139489E-2</v>
      </c>
      <c r="BZ102" s="147">
        <f t="shared" si="182"/>
        <v>110.4804044567617</v>
      </c>
      <c r="CA102" s="153">
        <f t="shared" si="183"/>
        <v>0.23532583776863641</v>
      </c>
      <c r="CB102" s="5">
        <f t="shared" si="184"/>
        <v>1.4550000000000001</v>
      </c>
      <c r="CC102" s="153">
        <f t="shared" si="185"/>
        <v>0.86078078408877357</v>
      </c>
      <c r="CD102" s="5">
        <f t="shared" si="186"/>
        <v>86.07807840887736</v>
      </c>
      <c r="CG102" s="59">
        <f t="shared" si="170"/>
        <v>-50</v>
      </c>
      <c r="CH102">
        <f t="shared" si="171"/>
        <v>-50</v>
      </c>
    </row>
    <row r="103" spans="5:86" x14ac:dyDescent="0.25">
      <c r="E103" s="150">
        <v>98</v>
      </c>
      <c r="F103" s="191">
        <f t="shared" si="200"/>
        <v>9.8000000000000004E-2</v>
      </c>
      <c r="G103" s="191"/>
      <c r="H103" s="191">
        <f t="shared" si="187"/>
        <v>1.47</v>
      </c>
      <c r="I103" s="472">
        <f t="shared" si="121"/>
        <v>15</v>
      </c>
      <c r="J103" s="152">
        <f t="shared" si="122"/>
        <v>15.32</v>
      </c>
      <c r="K103" s="386">
        <f t="shared" si="123"/>
        <v>30.32</v>
      </c>
      <c r="L103" s="386"/>
      <c r="M103" s="191">
        <f t="shared" si="124"/>
        <v>0.50527704485488123</v>
      </c>
      <c r="N103" s="152">
        <f t="shared" si="188"/>
        <v>2.5579650395778364</v>
      </c>
      <c r="O103" s="152">
        <f t="shared" si="173"/>
        <v>1.47</v>
      </c>
      <c r="P103" s="191">
        <f t="shared" si="189"/>
        <v>0.17053100263852242</v>
      </c>
      <c r="Q103" s="191">
        <f t="shared" si="127"/>
        <v>15</v>
      </c>
      <c r="R103" s="191">
        <f t="shared" si="190"/>
        <v>0.18947889182058048</v>
      </c>
      <c r="S103" s="152">
        <f t="shared" si="129"/>
        <v>36.787517109859749</v>
      </c>
      <c r="T103" s="467">
        <f t="shared" si="191"/>
        <v>15</v>
      </c>
      <c r="U103" s="191">
        <f t="shared" si="131"/>
        <v>0.43100667246881347</v>
      </c>
      <c r="V103" s="191">
        <f t="shared" si="192"/>
        <v>1.3504875737356155</v>
      </c>
      <c r="W103" s="191">
        <f t="shared" si="133"/>
        <v>1.3222789560074564</v>
      </c>
      <c r="X103" s="175">
        <f t="shared" si="134"/>
        <v>350</v>
      </c>
      <c r="Y103" s="386">
        <f t="shared" si="174"/>
        <v>350</v>
      </c>
      <c r="AA103" s="191">
        <f t="shared" si="135"/>
        <v>0.46073894667618365</v>
      </c>
      <c r="AB103" s="153">
        <f t="shared" si="193"/>
        <v>1.4134941575574826</v>
      </c>
      <c r="AC103" s="153">
        <f t="shared" si="194"/>
        <v>0.11396906662504547</v>
      </c>
      <c r="AD103" s="153"/>
      <c r="AE103" s="153">
        <f t="shared" si="138"/>
        <v>0.46018276762402083</v>
      </c>
      <c r="AF103" s="317">
        <f t="shared" si="195"/>
        <v>2839.4515366430269</v>
      </c>
      <c r="AG103" s="463">
        <f t="shared" si="140"/>
        <v>1.2079797650130546E-2</v>
      </c>
      <c r="AI103" s="153">
        <f t="shared" si="141"/>
        <v>0.45035315798057118</v>
      </c>
      <c r="AJ103" s="153">
        <f t="shared" si="196"/>
        <v>0.45035315798057118</v>
      </c>
      <c r="AK103" s="153">
        <f t="shared" si="197"/>
        <v>1.4002354386537141</v>
      </c>
      <c r="AM103" s="317">
        <f t="shared" si="144"/>
        <v>98</v>
      </c>
      <c r="AN103" s="147">
        <f t="shared" si="145"/>
        <v>350</v>
      </c>
      <c r="AP103">
        <f t="shared" si="146"/>
        <v>98</v>
      </c>
      <c r="AQ103">
        <f t="shared" si="147"/>
        <v>350</v>
      </c>
      <c r="AS103" s="5">
        <f t="shared" si="175"/>
        <v>2.8571428571428572</v>
      </c>
      <c r="AT103" s="5">
        <f t="shared" si="148"/>
        <v>1.4111065616724563</v>
      </c>
      <c r="AU103" s="5">
        <f t="shared" si="176"/>
        <v>1.4460362954704009</v>
      </c>
      <c r="AV103" s="5">
        <f t="shared" si="149"/>
        <v>1.3816317509847811</v>
      </c>
      <c r="AW103" s="153">
        <f t="shared" si="177"/>
        <v>0.49388729658535968</v>
      </c>
      <c r="AX103" s="153">
        <f t="shared" si="150"/>
        <v>1.6681777777777778</v>
      </c>
      <c r="AY103" s="153">
        <f t="shared" si="151"/>
        <v>0.11396472713843374</v>
      </c>
      <c r="AZ103" s="153">
        <f t="shared" si="178"/>
        <v>14.63766745785677</v>
      </c>
      <c r="BA103" s="147">
        <f t="shared" si="152"/>
        <v>3.3279803794703455</v>
      </c>
      <c r="BB103" s="147">
        <f t="shared" si="153"/>
        <v>14.22356351592296</v>
      </c>
      <c r="BC103" s="5">
        <f t="shared" si="154"/>
        <v>0.20994304734236932</v>
      </c>
      <c r="BD103" s="147">
        <f t="shared" si="155"/>
        <v>16.072395217344368</v>
      </c>
      <c r="BE103" s="5"/>
      <c r="BF103" s="153">
        <f t="shared" si="179"/>
        <v>0.18272859416148476</v>
      </c>
      <c r="BG103" s="153">
        <f t="shared" si="156"/>
        <v>0.18497634941650917</v>
      </c>
      <c r="BH103" s="153"/>
      <c r="BI103" s="463">
        <f t="shared" si="157"/>
        <v>1.1686408693481412E-2</v>
      </c>
      <c r="BJ103" s="463">
        <f t="shared" si="158"/>
        <v>2.3895738562449111E-2</v>
      </c>
      <c r="BK103" s="463">
        <f t="shared" si="159"/>
        <v>4.3749999999999995E-3</v>
      </c>
      <c r="BL103" s="463">
        <f t="shared" si="160"/>
        <v>1.6087792E-2</v>
      </c>
      <c r="BM103">
        <f t="shared" si="161"/>
        <v>4.3499999999999997E-3</v>
      </c>
      <c r="BN103">
        <f t="shared" si="162"/>
        <v>8.7499999999999992E-6</v>
      </c>
      <c r="BO103" s="463">
        <f t="shared" si="198"/>
        <v>6.2115283826943007E-2</v>
      </c>
      <c r="BP103" s="147">
        <f t="shared" si="180"/>
        <v>62.115283826943006</v>
      </c>
      <c r="BQ103" s="463">
        <f t="shared" si="164"/>
        <v>6.35772148804023E-2</v>
      </c>
      <c r="BR103" s="463"/>
      <c r="BT103" s="147">
        <f t="shared" si="181"/>
        <v>63.577214880402302</v>
      </c>
      <c r="BU103" s="463">
        <f t="shared" si="165"/>
        <v>3.3389739124232605E-2</v>
      </c>
      <c r="BV103" s="463">
        <f t="shared" si="166"/>
        <v>3.4216249843458495E-2</v>
      </c>
      <c r="BW103" s="463">
        <f t="shared" si="167"/>
        <v>0</v>
      </c>
      <c r="BX103" s="463">
        <f t="shared" si="199"/>
        <v>7.6130457634127485E-2</v>
      </c>
      <c r="BY103" s="463">
        <f t="shared" si="169"/>
        <v>3.5493144208037834E-2</v>
      </c>
      <c r="BZ103" s="147">
        <f t="shared" si="182"/>
        <v>111.62360184216533</v>
      </c>
      <c r="CA103" s="153">
        <f t="shared" si="183"/>
        <v>0.23731610054951063</v>
      </c>
      <c r="CB103" s="5">
        <f t="shared" si="184"/>
        <v>1.47</v>
      </c>
      <c r="CC103" s="153">
        <f t="shared" si="185"/>
        <v>0.86100049049316119</v>
      </c>
      <c r="CD103" s="5">
        <f t="shared" si="186"/>
        <v>86.100049049316112</v>
      </c>
      <c r="CG103" s="59">
        <f t="shared" si="170"/>
        <v>-50</v>
      </c>
      <c r="CH103">
        <f t="shared" si="171"/>
        <v>-50</v>
      </c>
    </row>
    <row r="104" spans="5:86" x14ac:dyDescent="0.25">
      <c r="E104" s="150">
        <v>99</v>
      </c>
      <c r="F104" s="191">
        <f t="shared" si="200"/>
        <v>9.9000000000000005E-2</v>
      </c>
      <c r="G104" s="191"/>
      <c r="H104" s="191">
        <f t="shared" si="187"/>
        <v>1.4850000000000001</v>
      </c>
      <c r="I104" s="472">
        <f t="shared" si="121"/>
        <v>15</v>
      </c>
      <c r="J104" s="152">
        <f t="shared" si="122"/>
        <v>15.32</v>
      </c>
      <c r="K104" s="386">
        <f t="shared" si="123"/>
        <v>30.32</v>
      </c>
      <c r="L104" s="386"/>
      <c r="M104" s="191">
        <f t="shared" si="124"/>
        <v>0.50527704485488123</v>
      </c>
      <c r="N104" s="152">
        <f t="shared" si="188"/>
        <v>2.5579650395778364</v>
      </c>
      <c r="O104" s="152">
        <f t="shared" si="173"/>
        <v>1.4850000000000001</v>
      </c>
      <c r="P104" s="191">
        <f t="shared" si="189"/>
        <v>0.17053100263852242</v>
      </c>
      <c r="Q104" s="191">
        <f t="shared" si="127"/>
        <v>15</v>
      </c>
      <c r="R104" s="191">
        <f t="shared" si="190"/>
        <v>0.18947889182058048</v>
      </c>
      <c r="S104" s="152">
        <f t="shared" si="129"/>
        <v>36.26755578345346</v>
      </c>
      <c r="T104" s="467">
        <f t="shared" si="191"/>
        <v>15</v>
      </c>
      <c r="U104" s="191">
        <f t="shared" si="131"/>
        <v>0.43540469973890344</v>
      </c>
      <c r="V104" s="191">
        <f t="shared" si="192"/>
        <v>1.3642680591818972</v>
      </c>
      <c r="W104" s="191">
        <f t="shared" si="133"/>
        <v>1.3357715984156957</v>
      </c>
      <c r="X104" s="175">
        <f t="shared" si="134"/>
        <v>350</v>
      </c>
      <c r="Y104" s="386">
        <f t="shared" si="174"/>
        <v>350</v>
      </c>
      <c r="AA104" s="191">
        <f t="shared" si="135"/>
        <v>0.46073894667618365</v>
      </c>
      <c r="AB104" s="153">
        <f t="shared" si="193"/>
        <v>1.4134941575574826</v>
      </c>
      <c r="AC104" s="153">
        <f t="shared" si="194"/>
        <v>0.11396906662504547</v>
      </c>
      <c r="AD104" s="153"/>
      <c r="AE104" s="153">
        <f t="shared" si="138"/>
        <v>0.46018276762402083</v>
      </c>
      <c r="AF104" s="317">
        <f t="shared" si="195"/>
        <v>2868.4255319148947</v>
      </c>
      <c r="AG104" s="463">
        <f t="shared" si="140"/>
        <v>1.2079797650130546E-2</v>
      </c>
      <c r="AI104" s="153">
        <f t="shared" si="141"/>
        <v>0.45264504635964037</v>
      </c>
      <c r="AJ104" s="153">
        <f t="shared" si="196"/>
        <v>0.45264504635964037</v>
      </c>
      <c r="AK104" s="153">
        <f t="shared" si="197"/>
        <v>1.4017633642397602</v>
      </c>
      <c r="AM104" s="317">
        <f t="shared" si="144"/>
        <v>99</v>
      </c>
      <c r="AN104" s="147">
        <f t="shared" si="145"/>
        <v>350</v>
      </c>
      <c r="AP104">
        <f t="shared" si="146"/>
        <v>99</v>
      </c>
      <c r="AQ104">
        <f t="shared" si="147"/>
        <v>350</v>
      </c>
      <c r="AS104" s="5">
        <f t="shared" si="175"/>
        <v>2.8571428571428572</v>
      </c>
      <c r="AT104" s="5">
        <f t="shared" si="148"/>
        <v>1.4182878119268731</v>
      </c>
      <c r="AU104" s="5">
        <f t="shared" si="176"/>
        <v>1.4388550452159841</v>
      </c>
      <c r="AV104" s="5">
        <f t="shared" si="149"/>
        <v>1.3886630012338834</v>
      </c>
      <c r="AW104" s="153">
        <f t="shared" si="177"/>
        <v>0.49640073417440561</v>
      </c>
      <c r="AX104" s="153">
        <f t="shared" si="150"/>
        <v>1.6852000000000003</v>
      </c>
      <c r="AY104" s="153">
        <f t="shared" si="151"/>
        <v>0.11397585651315351</v>
      </c>
      <c r="AZ104" s="153">
        <f t="shared" si="178"/>
        <v>14.785587505591748</v>
      </c>
      <c r="BA104" s="147">
        <f t="shared" si="152"/>
        <v>3.3279803794703455</v>
      </c>
      <c r="BB104" s="147">
        <f t="shared" si="153"/>
        <v>14.512290714239995</v>
      </c>
      <c r="BC104" s="5">
        <f t="shared" si="154"/>
        <v>0.21103207329834436</v>
      </c>
      <c r="BD104" s="147">
        <f t="shared" si="155"/>
        <v>16.157405497375823</v>
      </c>
      <c r="BE104" s="5"/>
      <c r="BF104" s="153">
        <f t="shared" si="179"/>
        <v>0.18412525110493747</v>
      </c>
      <c r="BG104" s="153">
        <f t="shared" si="156"/>
        <v>0.18545548766083303</v>
      </c>
      <c r="BH104" s="153"/>
      <c r="BI104" s="463">
        <f t="shared" si="157"/>
        <v>1.1865737833059695E-2</v>
      </c>
      <c r="BJ104" s="463">
        <f t="shared" si="158"/>
        <v>2.4017346159842516E-2</v>
      </c>
      <c r="BK104" s="463">
        <f t="shared" si="159"/>
        <v>4.3749999999999995E-3</v>
      </c>
      <c r="BL104" s="463">
        <f t="shared" si="160"/>
        <v>1.6087792E-2</v>
      </c>
      <c r="BM104">
        <f t="shared" si="161"/>
        <v>4.3499999999999997E-3</v>
      </c>
      <c r="BN104">
        <f t="shared" si="162"/>
        <v>8.7499999999999992E-6</v>
      </c>
      <c r="BO104" s="463">
        <f t="shared" si="198"/>
        <v>6.2443203048239845E-2</v>
      </c>
      <c r="BP104" s="147">
        <f t="shared" si="180"/>
        <v>62.443203048239845</v>
      </c>
      <c r="BQ104" s="463">
        <f t="shared" si="164"/>
        <v>6.4094815758287293E-2</v>
      </c>
      <c r="BR104" s="463"/>
      <c r="BT104" s="147">
        <f t="shared" si="181"/>
        <v>64.094815758287297</v>
      </c>
      <c r="BU104" s="463">
        <f t="shared" si="165"/>
        <v>3.3902108094456276E-2</v>
      </c>
      <c r="BV104" s="463">
        <f t="shared" si="166"/>
        <v>3.4393737903517393E-2</v>
      </c>
      <c r="BW104" s="463">
        <f t="shared" si="167"/>
        <v>0</v>
      </c>
      <c r="BX104" s="463">
        <f t="shared" si="199"/>
        <v>7.6911566759238659E-2</v>
      </c>
      <c r="BY104" s="463">
        <f t="shared" si="169"/>
        <v>3.5855319148936179E-2</v>
      </c>
      <c r="BZ104" s="147">
        <f t="shared" si="182"/>
        <v>112.76688590817484</v>
      </c>
      <c r="CA104" s="153">
        <f t="shared" si="183"/>
        <v>0.239304904714702</v>
      </c>
      <c r="CB104" s="5">
        <f t="shared" si="184"/>
        <v>1.4850000000000001</v>
      </c>
      <c r="CC104" s="153">
        <f t="shared" si="185"/>
        <v>0.86121659570741838</v>
      </c>
      <c r="CD104" s="5">
        <f t="shared" si="186"/>
        <v>86.121659570741841</v>
      </c>
      <c r="CG104" s="59">
        <f t="shared" si="170"/>
        <v>-50</v>
      </c>
      <c r="CH104">
        <f t="shared" si="171"/>
        <v>-50</v>
      </c>
    </row>
    <row r="105" spans="5:86" x14ac:dyDescent="0.25">
      <c r="E105" s="150">
        <v>100</v>
      </c>
      <c r="F105" s="191">
        <f t="shared" si="200"/>
        <v>0.1</v>
      </c>
      <c r="G105" s="191"/>
      <c r="H105" s="191">
        <f t="shared" si="187"/>
        <v>1.5</v>
      </c>
      <c r="I105" s="472">
        <f t="shared" si="121"/>
        <v>15</v>
      </c>
      <c r="J105" s="152">
        <f t="shared" si="122"/>
        <v>15.32</v>
      </c>
      <c r="K105" s="386">
        <f t="shared" si="123"/>
        <v>30.32</v>
      </c>
      <c r="L105" s="386"/>
      <c r="M105" s="191">
        <f t="shared" si="124"/>
        <v>0.50527704485488123</v>
      </c>
      <c r="N105" s="152">
        <f t="shared" si="188"/>
        <v>2.5579650395778364</v>
      </c>
      <c r="O105" s="152">
        <f t="shared" si="173"/>
        <v>1.5</v>
      </c>
      <c r="P105" s="191">
        <f t="shared" si="189"/>
        <v>0.17053100263852242</v>
      </c>
      <c r="Q105" s="191">
        <f t="shared" si="127"/>
        <v>15</v>
      </c>
      <c r="R105" s="191">
        <f t="shared" si="190"/>
        <v>0.18947889182058048</v>
      </c>
      <c r="S105" s="152">
        <f t="shared" si="129"/>
        <v>35.758044903426686</v>
      </c>
      <c r="T105" s="467">
        <f t="shared" si="191"/>
        <v>15</v>
      </c>
      <c r="U105" s="191">
        <f t="shared" si="131"/>
        <v>0.43980272700899337</v>
      </c>
      <c r="V105" s="191">
        <f t="shared" si="192"/>
        <v>1.3780485446281792</v>
      </c>
      <c r="W105" s="191">
        <f t="shared" si="133"/>
        <v>1.3492642408239353</v>
      </c>
      <c r="X105" s="175">
        <f t="shared" si="134"/>
        <v>350</v>
      </c>
      <c r="Y105" s="386">
        <f t="shared" si="174"/>
        <v>350</v>
      </c>
      <c r="AA105" s="191">
        <f t="shared" si="135"/>
        <v>0.46073894667618365</v>
      </c>
      <c r="AB105" s="153">
        <f t="shared" si="193"/>
        <v>1.4134941575574826</v>
      </c>
      <c r="AC105" s="153">
        <f t="shared" si="194"/>
        <v>0.11396906662504547</v>
      </c>
      <c r="AD105" s="153"/>
      <c r="AE105" s="153">
        <f t="shared" si="138"/>
        <v>0.46018276762402083</v>
      </c>
      <c r="AF105" s="317">
        <f t="shared" si="195"/>
        <v>2897.399527186762</v>
      </c>
      <c r="AG105" s="463">
        <f t="shared" si="140"/>
        <v>1.2079797650130546E-2</v>
      </c>
      <c r="AI105" s="153">
        <f t="shared" si="141"/>
        <v>0.45492538848119773</v>
      </c>
      <c r="AJ105" s="153">
        <f t="shared" si="196"/>
        <v>0.45492538848119773</v>
      </c>
      <c r="AK105" s="153">
        <f t="shared" si="197"/>
        <v>1.4032835923207985</v>
      </c>
      <c r="AM105" s="317">
        <f t="shared" si="144"/>
        <v>100</v>
      </c>
      <c r="AN105" s="147">
        <f t="shared" si="145"/>
        <v>350</v>
      </c>
      <c r="AP105">
        <f t="shared" si="146"/>
        <v>100</v>
      </c>
      <c r="AQ105" s="3">
        <f t="shared" si="147"/>
        <v>350</v>
      </c>
      <c r="AS105" s="5">
        <f t="shared" si="175"/>
        <v>2.8571428571428572</v>
      </c>
      <c r="AT105" s="5">
        <f t="shared" si="148"/>
        <v>1.4254328839077528</v>
      </c>
      <c r="AU105" s="5">
        <f t="shared" si="176"/>
        <v>1.4317099732351044</v>
      </c>
      <c r="AV105" s="5">
        <f t="shared" si="149"/>
        <v>1.3956588288914029</v>
      </c>
      <c r="AW105" s="153">
        <f t="shared" si="177"/>
        <v>0.49890150936771349</v>
      </c>
      <c r="AX105" s="153">
        <f t="shared" si="150"/>
        <v>1.7022222222222221</v>
      </c>
      <c r="AY105" s="153">
        <f t="shared" si="151"/>
        <v>0.11398121275911738</v>
      </c>
      <c r="AZ105" s="153">
        <f t="shared" si="178"/>
        <v>14.93423504643366</v>
      </c>
      <c r="BA105" s="147">
        <f t="shared" si="152"/>
        <v>3.3279803794703455</v>
      </c>
      <c r="BB105" s="147">
        <f t="shared" si="153"/>
        <v>14.803918696296293</v>
      </c>
      <c r="BC105" s="5">
        <f t="shared" si="154"/>
        <v>0.21210518122001545</v>
      </c>
      <c r="BD105" s="147">
        <f t="shared" si="155"/>
        <v>16.241221924834498</v>
      </c>
      <c r="BE105" s="5"/>
      <c r="BF105" s="153">
        <f t="shared" si="179"/>
        <v>0.18551838551903654</v>
      </c>
      <c r="BG105" s="153">
        <f t="shared" si="156"/>
        <v>0.1859264146447899</v>
      </c>
      <c r="BH105" s="153"/>
      <c r="BI105" s="463">
        <f t="shared" si="157"/>
        <v>1.2045974977956455E-2</v>
      </c>
      <c r="BJ105" s="463">
        <f t="shared" si="158"/>
        <v>2.4138341112812347E-2</v>
      </c>
      <c r="BK105" s="463">
        <f t="shared" si="159"/>
        <v>4.3749999999999995E-3</v>
      </c>
      <c r="BL105" s="463">
        <f t="shared" si="160"/>
        <v>1.6087792E-2</v>
      </c>
      <c r="BM105">
        <f t="shared" si="161"/>
        <v>4.3499999999999997E-3</v>
      </c>
      <c r="BN105">
        <f t="shared" si="162"/>
        <v>8.7499999999999992E-6</v>
      </c>
      <c r="BO105" s="463">
        <f t="shared" si="198"/>
        <v>6.2771573428919064E-2</v>
      </c>
      <c r="BP105" s="147">
        <f t="shared" si="180"/>
        <v>62.771573428919062</v>
      </c>
      <c r="BQ105" s="463">
        <f t="shared" si="164"/>
        <v>6.4610434590277099E-2</v>
      </c>
      <c r="BR105" s="463"/>
      <c r="BT105" s="147">
        <f t="shared" si="181"/>
        <v>64.610434590277094</v>
      </c>
      <c r="BU105" s="463">
        <f t="shared" si="165"/>
        <v>3.4417071365589871E-2</v>
      </c>
      <c r="BV105" s="463">
        <f t="shared" si="166"/>
        <v>3.4568631662666341E-2</v>
      </c>
      <c r="BW105" s="463">
        <f t="shared" si="167"/>
        <v>0</v>
      </c>
      <c r="BX105" s="463">
        <f t="shared" si="199"/>
        <v>7.7692762579386676E-2</v>
      </c>
      <c r="BY105" s="463">
        <f t="shared" si="169"/>
        <v>3.6217494089834518E-2</v>
      </c>
      <c r="BZ105" s="147">
        <f t="shared" si="182"/>
        <v>113.9102566692212</v>
      </c>
      <c r="CA105" s="153">
        <f t="shared" si="183"/>
        <v>0.24129226468841736</v>
      </c>
      <c r="CB105" s="5">
        <f t="shared" si="184"/>
        <v>1.5</v>
      </c>
      <c r="CC105" s="153">
        <f t="shared" si="185"/>
        <v>0.86142919854319011</v>
      </c>
      <c r="CD105" s="5">
        <f t="shared" si="186"/>
        <v>86.142919854319018</v>
      </c>
      <c r="CG105" s="59">
        <f t="shared" si="170"/>
        <v>-50</v>
      </c>
      <c r="CH105">
        <f t="shared" si="171"/>
        <v>-50</v>
      </c>
    </row>
    <row r="106" spans="5:86" x14ac:dyDescent="0.25">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5">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5">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0.15998157230436352</v>
      </c>
    </row>
    <row r="109" spans="5:86" ht="45" customHeight="1" thickBot="1" x14ac:dyDescent="0.3">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5">
      <c r="E110" s="150">
        <v>0.1</v>
      </c>
      <c r="F110" s="191">
        <v>1.0000000000000001E-9</v>
      </c>
      <c r="G110" s="191"/>
      <c r="H110" s="191">
        <f t="shared" ref="H110:H141" si="201">F110*Vout</f>
        <v>1.5000000000000002E-8</v>
      </c>
      <c r="I110" s="472">
        <f t="shared" ref="I110:I141" si="202">VIN_min</f>
        <v>13</v>
      </c>
      <c r="J110" s="386">
        <f t="shared" ref="J110:J141" si="203">(T110+Vfwd1)*Nps</f>
        <v>15.32</v>
      </c>
      <c r="K110" s="386">
        <f t="shared" ref="K110:K141" si="204">(Vout+Vfwd1)*Nps+I110</f>
        <v>28.32</v>
      </c>
      <c r="L110" s="386"/>
      <c r="M110" s="191">
        <f t="shared" ref="M110:M141" si="205">(Vout+Vfwd1)*Nps/((Vout+Vfwd1)*Nps+I110)</f>
        <v>0.54096045197740117</v>
      </c>
      <c r="N110" s="152">
        <f t="shared" ref="N110:N141" si="206">M110*I110*(Isw_max+VIN_min/Lmag*ILIM_delay)*0.5*Efficiency</f>
        <v>2.3997235845654528</v>
      </c>
      <c r="O110" s="152">
        <f t="shared" si="173"/>
        <v>1.5000000000000002E-8</v>
      </c>
      <c r="P110" s="191">
        <f t="shared" ref="P110:P141" si="207">N110/Vout</f>
        <v>0.15998157230436352</v>
      </c>
      <c r="Q110" s="191">
        <f t="shared" ref="Q110:Q141" si="208">MIN(Vout,N110/F110)</f>
        <v>15</v>
      </c>
      <c r="R110" s="191"/>
      <c r="S110" s="152">
        <f t="shared" ref="S110:S141" si="209">(SQRT(Isw_max^2*Nps^2*I110^2+4*Isw_max*F110/Efficiency*(Nps^2*Vfwd1*I110-Nps*I110^2)+4*(F110/Efficiency)^2*Nps^2*Vfwd1^2+8*(F110/Efficiency)^2*Nps*Vfwd1*I110+4*(F110/Efficiency)^2*I110^2)-2*F110/Efficiency*I110-2*F110/Efficiency*Nps*Vfwd1+Isw_max*Nps*I110)/(4*F110/Efficiency*Nps)</f>
        <v>4387499987</v>
      </c>
      <c r="T110" s="152">
        <f t="shared" ref="T110:T141" si="210">MIN(Vout, S110)</f>
        <v>15</v>
      </c>
      <c r="U110" s="191">
        <f t="shared" ref="U110:U141" si="211">MIN(2*Vout*F110/(Efficiency*I110*M110), Isw_max)</f>
        <v>4.7399076119702747E-9</v>
      </c>
      <c r="V110" s="191">
        <f t="shared" ref="V110:V141" si="212">L*U110/I110*1000000</f>
        <v>1.7136589058661761E-8</v>
      </c>
      <c r="W110" s="191">
        <f t="shared" ref="W110:W141" si="213">L*U110/J110*1000000</f>
        <v>1.4541492021057628E-8</v>
      </c>
      <c r="X110" s="175">
        <f t="shared" ref="X110:X141" si="214">IF(1/((350000*L)*(1/I110+1/J110))&gt;Isw_min, 350, 0.001/((Isw_min*L)*(1/I110+1/J110)))</f>
        <v>350</v>
      </c>
      <c r="Y110" s="386">
        <f t="shared" ref="Y110:Y169" si="215">MIN(1/(V110+W110)*1000, 350)</f>
        <v>350</v>
      </c>
      <c r="AA110" s="191">
        <f t="shared" ref="AA110:AA141" si="216">1/((X110*1000*L)*(1/I110+1/J110))</f>
        <v>0.42750674016451157</v>
      </c>
      <c r="AB110" s="153">
        <f t="shared" ref="AB110:AB141" si="217">L*AA110/J110*1000000</f>
        <v>1.3115415657788541</v>
      </c>
      <c r="AC110" s="153">
        <f t="shared" ref="AC110:AC141" si="218">0.5*AB110*AA110*Nps*X110/1000</f>
        <v>9.8121250390866027E-2</v>
      </c>
      <c r="AD110" s="153"/>
      <c r="AE110" s="153">
        <f t="shared" ref="AE110:AE141" si="219">L*Isw_min/J110*1000000</f>
        <v>0.46018276762402083</v>
      </c>
      <c r="AF110" s="317">
        <f t="shared" ref="AF110:AF141" si="220">MAX(12000,F110/(0.5*AE110/1000000*Isw_min*Nps))/1000</f>
        <v>12</v>
      </c>
      <c r="AG110" s="463">
        <f t="shared" ref="AG110:AG141" si="221">0.5*AE110/1000000*Isw_min*Nps*X110*1000</f>
        <v>1.2079797650130546E-2</v>
      </c>
      <c r="AI110" s="153">
        <f t="shared" ref="AI110:AI141" si="222">SQRT(F110/(0.5*L/J110*Fsw_DCM*Nps))</f>
        <v>4.3158011791125384E-5</v>
      </c>
      <c r="AJ110" s="153">
        <f t="shared" ref="AJ110:AJ141" si="223">MAX(IF(F110&gt;AC110,U110,AI110),Isw_min)</f>
        <v>0.15</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0.54230769230769227</v>
      </c>
      <c r="AU110" s="5">
        <f t="shared" ref="AU110:AU169" si="230">AS110-AT110</f>
        <v>82.791025641025641</v>
      </c>
      <c r="AV110" s="5"/>
      <c r="AW110" s="153">
        <f t="shared" ref="AW110:AW169" si="231">AT110/AS110</f>
        <v>6.5076923076923072E-3</v>
      </c>
      <c r="AX110" s="153">
        <f t="shared" si="150"/>
        <v>6.3449999999999991E-3</v>
      </c>
      <c r="AY110" s="153">
        <f t="shared" si="151"/>
        <v>7.4511923076923073E-2</v>
      </c>
      <c r="AZ110" s="153">
        <f t="shared" si="178"/>
        <v>8.5154157052820659E-2</v>
      </c>
      <c r="BA110" s="147">
        <f t="shared" ref="BA110:BA141" si="232">L*Isw_max^2/(2*Vout_ripple*Vout)*1000000000*((1+M110)/2)^2</f>
        <v>3.4876336995076449</v>
      </c>
      <c r="BB110" s="147">
        <f t="shared" ref="BB110:BB141" si="233">L*F110^2/(2*Cout*Vout*Nps^2)*1000000000*((1+M110)/(1-M110))^2+F110*RCoutEsr</f>
        <v>3.0000017654660992E-9</v>
      </c>
      <c r="BC110" s="5">
        <f t="shared" ref="BC110:BC116" si="234">H110/Efficiency/I110*AU110/Vinripple1</f>
        <v>1.4152312075388998E-7</v>
      </c>
      <c r="BD110" s="147">
        <f t="shared" ref="BD110:BD141" si="235">((CB110/I110/Efficiency)*AU110/Cin+(CB110/I110/Efficiency)*RCinEsr)*1000</f>
        <v>1.0618080210387905E-5</v>
      </c>
      <c r="BF110" s="153">
        <f t="shared" si="179"/>
        <v>6.9862502322556629E-3</v>
      </c>
      <c r="BG110" s="153">
        <f t="shared" si="156"/>
        <v>8.6320289084851357E-2</v>
      </c>
      <c r="BI110" s="463">
        <f t="shared" ref="BI110:BI169" si="236">Rdson*BF110^2</f>
        <v>1.7082692307692304E-5</v>
      </c>
      <c r="BJ110" s="463">
        <f t="shared" ref="BJ110:BJ169" si="237">0.5*K110*AJ110*AN110*1000*Trise</f>
        <v>2.5488000000000003E-4</v>
      </c>
      <c r="BK110" s="463">
        <f t="shared" ref="BK110:BK169" si="238">Qg*Vdd*AN110*1000</f>
        <v>1.4999999999999999E-4</v>
      </c>
      <c r="BL110" s="463">
        <f t="shared" ref="BL110:BL169" si="239">0.5*(Coss+Csw)*K110^2*AN110*1000</f>
        <v>4.8121344000000001E-4</v>
      </c>
      <c r="BM110">
        <f t="shared" ref="BM110:BM169" si="240">I110*IQ</f>
        <v>3.7699999999999999E-3</v>
      </c>
      <c r="BN110">
        <f t="shared" ref="BN110:BN141" si="241">(I110-Vdd)*Qg*AN110</f>
        <v>2.4000000000000003E-7</v>
      </c>
      <c r="BO110" s="463">
        <f t="shared" ref="BO110:BO141" si="242">(BJ110+BK110+BL110+BM110+BN110+BI110*(1+RdsonTC*(Ta-25)))/(1-BI110*RdsonTC*ThetaJA)</f>
        <v>4.6757370325548955E-3</v>
      </c>
      <c r="BP110" s="147">
        <f t="shared" ref="BP110:BP169" si="243">SUM(BI110:BM110)*1000</f>
        <v>4.6731761323076917</v>
      </c>
      <c r="BQ110" s="463">
        <f t="shared" ref="BQ110:BQ141" si="244">(Vfwd2*F110+BG110^2*Rdiode)*(1+Diode_TC/1000*(Ta-25))</f>
        <v>5.6927113050769243E-3</v>
      </c>
      <c r="BT110" s="147">
        <f t="shared" ref="BT110:BT169" si="245">SUM(BQ110:BS110)*1000</f>
        <v>5.6927113050769247</v>
      </c>
      <c r="BU110" s="463">
        <f t="shared" ref="BU110:BU169" si="246">Rdcr_pri*BF110^2</f>
        <v>4.8807692307692302E-5</v>
      </c>
      <c r="BV110" s="463">
        <f t="shared" ref="BV110:BV169" si="247">Rdcr_sec*BG110^2</f>
        <v>7.451192307692308E-3</v>
      </c>
      <c r="BW110" s="463">
        <f t="shared" ref="BW110:BW169" si="248">AJ110^2.5*AN110^2.5*k_core</f>
        <v>0</v>
      </c>
      <c r="BX110" s="463"/>
      <c r="BY110" s="463">
        <f t="shared" ref="BY110:BY169" si="249">0.5*Lleak*0.000000001*AJ110^2*AN110*1000</f>
        <v>1.3500000000000003E-4</v>
      </c>
      <c r="BZ110" s="147">
        <f t="shared" ref="BZ110:BZ169" si="250">SUM(BU110:BY110)*1000</f>
        <v>7.6350000000000007</v>
      </c>
      <c r="CA110" s="153">
        <f t="shared" ref="CA110:CA169" si="251">SUM(BI110:BM110,BQ110:BS110,BU110:BY110)</f>
        <v>1.8000887437384615E-2</v>
      </c>
      <c r="CB110" s="5">
        <f t="shared" ref="CB110:CB169" si="252">MIN(H110,O110)</f>
        <v>1.5000000000000002E-8</v>
      </c>
      <c r="CC110" s="153">
        <f t="shared" ref="CC110:CC169" si="253">CB110/(CB110+CA110)</f>
        <v>8.3329155591931429E-7</v>
      </c>
      <c r="CD110" s="5">
        <f t="shared" ref="CD110:CD169" si="254">CC110*100</f>
        <v>8.332915559193143E-5</v>
      </c>
      <c r="CG110" s="59">
        <f t="shared" ref="CG110:CG141" si="255">IF(ABS(F110-Ioutmax_Vinmin)&lt;Iout/200, AN110, -50)</f>
        <v>-50</v>
      </c>
      <c r="CH110">
        <f t="shared" ref="CH110:CH141" si="256">IF(ABS(F110-Ioutmax_Vinmin)&lt;Iout/200, N110*CC110, -50)</f>
        <v>-50</v>
      </c>
    </row>
    <row r="111" spans="5:86" x14ac:dyDescent="0.25">
      <c r="E111" s="150">
        <v>1</v>
      </c>
      <c r="F111" s="191">
        <f t="shared" ref="F111:F142" si="257">IF(PLOT_TYPE=1, E111/100*Iout_max, min_I*EXP(N111*rr/100))</f>
        <v>1E-3</v>
      </c>
      <c r="G111" s="191"/>
      <c r="H111" s="191">
        <f t="shared" si="201"/>
        <v>1.4999999999999999E-2</v>
      </c>
      <c r="I111" s="472">
        <f t="shared" si="202"/>
        <v>13</v>
      </c>
      <c r="J111" s="386">
        <f t="shared" si="203"/>
        <v>15.32</v>
      </c>
      <c r="K111" s="386">
        <f t="shared" si="204"/>
        <v>28.32</v>
      </c>
      <c r="L111" s="386"/>
      <c r="M111" s="191">
        <f t="shared" si="205"/>
        <v>0.54096045197740117</v>
      </c>
      <c r="N111" s="152">
        <f t="shared" si="206"/>
        <v>2.3997235845654528</v>
      </c>
      <c r="O111" s="152">
        <f t="shared" si="173"/>
        <v>1.4999999999999999E-2</v>
      </c>
      <c r="P111" s="191">
        <f t="shared" si="207"/>
        <v>0.15998157230436352</v>
      </c>
      <c r="Q111" s="191">
        <f t="shared" si="208"/>
        <v>15</v>
      </c>
      <c r="R111" s="191"/>
      <c r="S111" s="152">
        <f t="shared" si="209"/>
        <v>4374.5009508960593</v>
      </c>
      <c r="T111" s="152">
        <f t="shared" si="210"/>
        <v>15</v>
      </c>
      <c r="U111" s="191">
        <f t="shared" si="211"/>
        <v>4.7399076119702737E-3</v>
      </c>
      <c r="V111" s="191">
        <f t="shared" si="212"/>
        <v>1.7136589058661757E-2</v>
      </c>
      <c r="W111" s="191">
        <f t="shared" si="213"/>
        <v>1.4541492021057627E-2</v>
      </c>
      <c r="X111" s="175">
        <f t="shared" si="214"/>
        <v>350</v>
      </c>
      <c r="Y111" s="386">
        <f t="shared" si="215"/>
        <v>350</v>
      </c>
      <c r="AA111" s="191">
        <f t="shared" si="216"/>
        <v>0.42750674016451157</v>
      </c>
      <c r="AB111" s="153">
        <f t="shared" si="217"/>
        <v>1.3115415657788541</v>
      </c>
      <c r="AC111" s="153">
        <f t="shared" si="218"/>
        <v>9.8121250390866027E-2</v>
      </c>
      <c r="AD111" s="153"/>
      <c r="AE111" s="153">
        <f t="shared" si="219"/>
        <v>0.46018276762402083</v>
      </c>
      <c r="AF111" s="317">
        <f t="shared" si="220"/>
        <v>28.973995271867622</v>
      </c>
      <c r="AG111" s="463">
        <f t="shared" si="221"/>
        <v>1.2079797650130546E-2</v>
      </c>
      <c r="AI111" s="153">
        <f t="shared" si="222"/>
        <v>4.3158011791125384E-2</v>
      </c>
      <c r="AJ111" s="153">
        <f t="shared" si="223"/>
        <v>0.15</v>
      </c>
      <c r="AK111" s="153">
        <f t="shared" si="224"/>
        <v>1.0165565687267815</v>
      </c>
      <c r="AM111" s="317">
        <f t="shared" si="225"/>
        <v>1</v>
      </c>
      <c r="AN111" s="147">
        <f t="shared" si="226"/>
        <v>28.973995271867622</v>
      </c>
      <c r="AP111" s="147">
        <f t="shared" si="227"/>
        <v>1</v>
      </c>
      <c r="AQ111" s="147">
        <f t="shared" si="228"/>
        <v>28.973995271867622</v>
      </c>
      <c r="AS111" s="5">
        <f t="shared" si="175"/>
        <v>34.513707571801554</v>
      </c>
      <c r="AT111" s="5">
        <f t="shared" si="229"/>
        <v>0.54230769230769227</v>
      </c>
      <c r="AU111" s="5">
        <f t="shared" si="230"/>
        <v>33.971399879493859</v>
      </c>
      <c r="AV111" s="5"/>
      <c r="AW111" s="153">
        <f t="shared" si="231"/>
        <v>1.5712820512820518E-2</v>
      </c>
      <c r="AX111" s="153">
        <f t="shared" si="150"/>
        <v>1.5320000000000002E-2</v>
      </c>
      <c r="AY111" s="153">
        <f t="shared" si="151"/>
        <v>7.3821538461538452E-2</v>
      </c>
      <c r="AZ111" s="153">
        <f t="shared" si="178"/>
        <v>0.20752750916972329</v>
      </c>
      <c r="BA111" s="147">
        <f t="shared" si="232"/>
        <v>3.4876336995076449</v>
      </c>
      <c r="BB111" s="147">
        <f t="shared" si="233"/>
        <v>4.7654660986193292E-3</v>
      </c>
      <c r="BC111" s="5">
        <f t="shared" si="234"/>
        <v>5.8070769024775822E-2</v>
      </c>
      <c r="BD111" s="147">
        <f t="shared" si="235"/>
        <v>4.35915383070434</v>
      </c>
      <c r="BF111" s="153">
        <f t="shared" si="179"/>
        <v>1.0855696838349619E-2</v>
      </c>
      <c r="BG111" s="153">
        <f t="shared" si="156"/>
        <v>8.5919461393527408E-2</v>
      </c>
      <c r="BI111" s="463">
        <f t="shared" si="236"/>
        <v>4.1246153846153866E-5</v>
      </c>
      <c r="BJ111" s="463">
        <f t="shared" si="237"/>
        <v>6.1540765957446828E-4</v>
      </c>
      <c r="BK111" s="463">
        <f t="shared" si="238"/>
        <v>3.6217494089834523E-4</v>
      </c>
      <c r="BL111" s="463">
        <f t="shared" si="239"/>
        <v>1.1618896612765961E-3</v>
      </c>
      <c r="BM111">
        <f t="shared" si="240"/>
        <v>3.7699999999999999E-3</v>
      </c>
      <c r="BN111">
        <f t="shared" si="241"/>
        <v>5.7947990543735241E-7</v>
      </c>
      <c r="BO111" s="463">
        <f t="shared" si="242"/>
        <v>5.9569114578623796E-3</v>
      </c>
      <c r="BP111" s="147">
        <f t="shared" si="243"/>
        <v>5.9507184155955635</v>
      </c>
      <c r="BQ111" s="463">
        <f t="shared" si="244"/>
        <v>6.021965538461539E-3</v>
      </c>
      <c r="BT111" s="147">
        <f t="shared" si="245"/>
        <v>6.0219655384615391</v>
      </c>
      <c r="BU111" s="463">
        <f t="shared" si="246"/>
        <v>1.1784615384615391E-4</v>
      </c>
      <c r="BV111" s="463">
        <f t="shared" si="247"/>
        <v>7.3821538461538464E-3</v>
      </c>
      <c r="BW111" s="463">
        <f t="shared" si="248"/>
        <v>0</v>
      </c>
      <c r="BX111" s="463"/>
      <c r="BY111" s="463">
        <f t="shared" si="249"/>
        <v>3.259574468085108E-4</v>
      </c>
      <c r="BZ111" s="147">
        <f t="shared" si="250"/>
        <v>7.8259574468085118</v>
      </c>
      <c r="CA111" s="153">
        <f t="shared" si="251"/>
        <v>1.9798641400865614E-2</v>
      </c>
      <c r="CB111" s="5">
        <f t="shared" si="252"/>
        <v>1.4999999999999999E-2</v>
      </c>
      <c r="CC111" s="153">
        <f t="shared" si="253"/>
        <v>0.43105131109017597</v>
      </c>
      <c r="CD111" s="5">
        <f t="shared" si="254"/>
        <v>43.105131109017599</v>
      </c>
      <c r="CG111" s="59">
        <f t="shared" si="255"/>
        <v>-50</v>
      </c>
      <c r="CH111">
        <f t="shared" si="256"/>
        <v>-50</v>
      </c>
    </row>
    <row r="112" spans="5:86" x14ac:dyDescent="0.25">
      <c r="E112" s="150">
        <v>2</v>
      </c>
      <c r="F112" s="191">
        <f t="shared" si="257"/>
        <v>2E-3</v>
      </c>
      <c r="G112" s="191"/>
      <c r="H112" s="191">
        <f t="shared" si="201"/>
        <v>0.03</v>
      </c>
      <c r="I112" s="472">
        <f t="shared" si="202"/>
        <v>13</v>
      </c>
      <c r="J112" s="386">
        <f t="shared" si="203"/>
        <v>15.32</v>
      </c>
      <c r="K112" s="386">
        <f t="shared" si="204"/>
        <v>28.32</v>
      </c>
      <c r="L112" s="386"/>
      <c r="M112" s="191">
        <f t="shared" si="205"/>
        <v>0.54096045197740117</v>
      </c>
      <c r="N112" s="152">
        <f t="shared" si="206"/>
        <v>2.3997235845654528</v>
      </c>
      <c r="O112" s="152">
        <f t="shared" si="173"/>
        <v>0.03</v>
      </c>
      <c r="P112" s="191">
        <f t="shared" si="207"/>
        <v>0.15998157230436352</v>
      </c>
      <c r="Q112" s="191">
        <f t="shared" si="208"/>
        <v>15</v>
      </c>
      <c r="R112" s="191"/>
      <c r="S112" s="152">
        <f t="shared" si="209"/>
        <v>2180.7519073190506</v>
      </c>
      <c r="T112" s="152">
        <f t="shared" si="210"/>
        <v>15</v>
      </c>
      <c r="U112" s="191">
        <f t="shared" si="211"/>
        <v>9.4798152239405475E-3</v>
      </c>
      <c r="V112" s="191">
        <f t="shared" si="212"/>
        <v>3.4273178117323513E-2</v>
      </c>
      <c r="W112" s="191">
        <f t="shared" si="213"/>
        <v>2.9082984042115255E-2</v>
      </c>
      <c r="X112" s="175">
        <f t="shared" si="214"/>
        <v>350</v>
      </c>
      <c r="Y112" s="386">
        <f t="shared" si="215"/>
        <v>350</v>
      </c>
      <c r="AA112" s="191">
        <f t="shared" si="216"/>
        <v>0.42750674016451157</v>
      </c>
      <c r="AB112" s="153">
        <f t="shared" si="217"/>
        <v>1.3115415657788541</v>
      </c>
      <c r="AC112" s="153">
        <f t="shared" si="218"/>
        <v>9.8121250390866027E-2</v>
      </c>
      <c r="AD112" s="153"/>
      <c r="AE112" s="153">
        <f t="shared" si="219"/>
        <v>0.46018276762402083</v>
      </c>
      <c r="AF112" s="317">
        <f t="shared" si="220"/>
        <v>57.947990543735244</v>
      </c>
      <c r="AG112" s="463">
        <f t="shared" si="221"/>
        <v>1.2079797650130546E-2</v>
      </c>
      <c r="AI112" s="153">
        <f t="shared" si="222"/>
        <v>6.1034645600067473E-2</v>
      </c>
      <c r="AJ112" s="153">
        <f t="shared" si="223"/>
        <v>0.15</v>
      </c>
      <c r="AK112" s="153">
        <f t="shared" si="224"/>
        <v>1.0331131374535629</v>
      </c>
      <c r="AM112" s="317">
        <f t="shared" si="225"/>
        <v>2</v>
      </c>
      <c r="AN112" s="147">
        <f t="shared" si="226"/>
        <v>57.947990543735244</v>
      </c>
      <c r="AP112" s="147">
        <f t="shared" si="227"/>
        <v>2</v>
      </c>
      <c r="AQ112" s="147">
        <f t="shared" si="228"/>
        <v>57.947990543735244</v>
      </c>
      <c r="AS112" s="5">
        <f t="shared" si="175"/>
        <v>17.256853785900777</v>
      </c>
      <c r="AT112" s="5">
        <f t="shared" si="229"/>
        <v>0.54230769230769227</v>
      </c>
      <c r="AU112" s="5">
        <f t="shared" si="230"/>
        <v>16.714546093593086</v>
      </c>
      <c r="AV112" s="5"/>
      <c r="AW112" s="153">
        <f t="shared" si="231"/>
        <v>3.1425641025641035E-2</v>
      </c>
      <c r="AX112" s="153">
        <f t="shared" si="150"/>
        <v>3.0640000000000004E-2</v>
      </c>
      <c r="AY112" s="153">
        <f t="shared" si="151"/>
        <v>7.2643076923076921E-2</v>
      </c>
      <c r="AZ112" s="153">
        <f t="shared" si="178"/>
        <v>0.42178830107162529</v>
      </c>
      <c r="BA112" s="147">
        <f t="shared" si="232"/>
        <v>3.4876336995076449</v>
      </c>
      <c r="BB112" s="147">
        <f t="shared" si="233"/>
        <v>1.3061864394477318E-2</v>
      </c>
      <c r="BC112" s="5">
        <f t="shared" si="234"/>
        <v>5.714374732852337E-2</v>
      </c>
      <c r="BD112" s="147">
        <f t="shared" si="235"/>
        <v>4.2934733573315595</v>
      </c>
      <c r="BF112" s="153">
        <f t="shared" si="179"/>
        <v>1.5352273697804758E-2</v>
      </c>
      <c r="BG112" s="153">
        <f t="shared" si="156"/>
        <v>8.5230908080975484E-2</v>
      </c>
      <c r="BI112" s="463">
        <f t="shared" si="236"/>
        <v>8.2492307692307718E-5</v>
      </c>
      <c r="BJ112" s="463">
        <f t="shared" si="237"/>
        <v>1.2308153191489366E-3</v>
      </c>
      <c r="BK112" s="463">
        <f t="shared" si="238"/>
        <v>7.2434988179669046E-4</v>
      </c>
      <c r="BL112" s="463">
        <f t="shared" si="239"/>
        <v>2.3237793225531923E-3</v>
      </c>
      <c r="BM112">
        <f t="shared" si="240"/>
        <v>3.7699999999999999E-3</v>
      </c>
      <c r="BN112">
        <f t="shared" si="241"/>
        <v>1.1589598108747048E-6</v>
      </c>
      <c r="BO112" s="463">
        <f t="shared" si="242"/>
        <v>8.1438562006536461E-3</v>
      </c>
      <c r="BP112" s="147">
        <f t="shared" si="243"/>
        <v>8.1314368311911274</v>
      </c>
      <c r="BQ112" s="463">
        <f t="shared" si="244"/>
        <v>6.3139310769230782E-3</v>
      </c>
      <c r="BT112" s="147">
        <f t="shared" si="245"/>
        <v>6.3139310769230779</v>
      </c>
      <c r="BU112" s="463">
        <f t="shared" si="246"/>
        <v>2.3569230769230777E-4</v>
      </c>
      <c r="BV112" s="463">
        <f t="shared" si="247"/>
        <v>7.2643076923076923E-3</v>
      </c>
      <c r="BW112" s="463">
        <f t="shared" si="248"/>
        <v>0</v>
      </c>
      <c r="BX112" s="463"/>
      <c r="BY112" s="463">
        <f t="shared" si="249"/>
        <v>6.519148936170216E-4</v>
      </c>
      <c r="BZ112" s="147">
        <f t="shared" si="250"/>
        <v>8.1519148936170218</v>
      </c>
      <c r="CA112" s="153">
        <f t="shared" si="251"/>
        <v>2.2597282801731226E-2</v>
      </c>
      <c r="CB112" s="5">
        <f t="shared" si="252"/>
        <v>0.03</v>
      </c>
      <c r="CC112" s="153">
        <f t="shared" si="253"/>
        <v>0.57037166944701101</v>
      </c>
      <c r="CD112" s="5">
        <f t="shared" si="254"/>
        <v>57.037166944701099</v>
      </c>
      <c r="CG112" s="59">
        <f t="shared" si="255"/>
        <v>-50</v>
      </c>
      <c r="CH112">
        <f t="shared" si="256"/>
        <v>-50</v>
      </c>
    </row>
    <row r="113" spans="5:86" x14ac:dyDescent="0.25">
      <c r="E113" s="150">
        <v>3</v>
      </c>
      <c r="F113" s="191">
        <f t="shared" si="257"/>
        <v>3.0000000000000001E-3</v>
      </c>
      <c r="G113" s="191"/>
      <c r="H113" s="191">
        <f t="shared" si="201"/>
        <v>4.4999999999999998E-2</v>
      </c>
      <c r="I113" s="472">
        <f t="shared" si="202"/>
        <v>13</v>
      </c>
      <c r="J113" s="386">
        <f t="shared" si="203"/>
        <v>15.32</v>
      </c>
      <c r="K113" s="386">
        <f t="shared" si="204"/>
        <v>28.32</v>
      </c>
      <c r="L113" s="386"/>
      <c r="M113" s="191">
        <f t="shared" si="205"/>
        <v>0.54096045197740117</v>
      </c>
      <c r="N113" s="152">
        <f t="shared" si="206"/>
        <v>2.3997235845654528</v>
      </c>
      <c r="O113" s="152">
        <f t="shared" si="173"/>
        <v>4.4999999999999998E-2</v>
      </c>
      <c r="P113" s="191">
        <f t="shared" si="207"/>
        <v>0.15998157230436352</v>
      </c>
      <c r="Q113" s="191">
        <f t="shared" si="208"/>
        <v>15</v>
      </c>
      <c r="R113" s="191"/>
      <c r="S113" s="152">
        <f t="shared" si="209"/>
        <v>1449.5028693160305</v>
      </c>
      <c r="T113" s="152">
        <f t="shared" si="210"/>
        <v>15</v>
      </c>
      <c r="U113" s="191">
        <f t="shared" si="211"/>
        <v>1.4219722835910822E-2</v>
      </c>
      <c r="V113" s="191">
        <f t="shared" si="212"/>
        <v>5.1409767175985277E-2</v>
      </c>
      <c r="W113" s="191">
        <f t="shared" si="213"/>
        <v>4.3624476063172879E-2</v>
      </c>
      <c r="X113" s="175">
        <f t="shared" si="214"/>
        <v>350</v>
      </c>
      <c r="Y113" s="386">
        <f t="shared" si="215"/>
        <v>350</v>
      </c>
      <c r="AA113" s="191">
        <f t="shared" si="216"/>
        <v>0.42750674016451157</v>
      </c>
      <c r="AB113" s="153">
        <f t="shared" si="217"/>
        <v>1.3115415657788541</v>
      </c>
      <c r="AC113" s="153">
        <f t="shared" si="218"/>
        <v>9.8121250390866027E-2</v>
      </c>
      <c r="AD113" s="153"/>
      <c r="AE113" s="153">
        <f t="shared" si="219"/>
        <v>0.46018276762402083</v>
      </c>
      <c r="AF113" s="317">
        <f t="shared" si="220"/>
        <v>86.921985815602866</v>
      </c>
      <c r="AG113" s="463">
        <f t="shared" si="221"/>
        <v>1.2079797650130546E-2</v>
      </c>
      <c r="AI113" s="153">
        <f t="shared" si="222"/>
        <v>7.4751869175885846E-2</v>
      </c>
      <c r="AJ113" s="153">
        <f t="shared" si="223"/>
        <v>0.15</v>
      </c>
      <c r="AK113" s="153">
        <f t="shared" si="224"/>
        <v>1.0496697061803446</v>
      </c>
      <c r="AM113" s="317">
        <f t="shared" si="225"/>
        <v>3</v>
      </c>
      <c r="AN113" s="147">
        <f t="shared" si="226"/>
        <v>86.921985815602866</v>
      </c>
      <c r="AP113" s="147">
        <f t="shared" si="227"/>
        <v>3</v>
      </c>
      <c r="AQ113" s="147">
        <f t="shared" si="228"/>
        <v>86.921985815602866</v>
      </c>
      <c r="AS113" s="5">
        <f t="shared" si="175"/>
        <v>11.504569190600519</v>
      </c>
      <c r="AT113" s="5">
        <f t="shared" si="229"/>
        <v>0.54230769230769227</v>
      </c>
      <c r="AU113" s="5">
        <f t="shared" si="230"/>
        <v>10.962261498292825</v>
      </c>
      <c r="AV113" s="5"/>
      <c r="AW113" s="153">
        <f t="shared" si="231"/>
        <v>4.7138461538461553E-2</v>
      </c>
      <c r="AX113" s="153">
        <f t="shared" si="150"/>
        <v>4.5960000000000008E-2</v>
      </c>
      <c r="AY113" s="153">
        <f t="shared" si="151"/>
        <v>7.1464615384615376E-2</v>
      </c>
      <c r="AZ113" s="153">
        <f t="shared" si="178"/>
        <v>0.64311547403771652</v>
      </c>
      <c r="BA113" s="147">
        <f t="shared" si="232"/>
        <v>3.4876336995076449</v>
      </c>
      <c r="BB113" s="147">
        <f t="shared" si="233"/>
        <v>2.4889194887573969E-2</v>
      </c>
      <c r="BC113" s="5">
        <f t="shared" si="234"/>
        <v>5.6216725632270897E-2</v>
      </c>
      <c r="BD113" s="147">
        <f t="shared" si="235"/>
        <v>4.2277928839587782</v>
      </c>
      <c r="BF113" s="153">
        <f t="shared" si="179"/>
        <v>1.8802618475586366E-2</v>
      </c>
      <c r="BG113" s="153">
        <f t="shared" si="156"/>
        <v>8.4536746675404645E-2</v>
      </c>
      <c r="BI113" s="463">
        <f t="shared" si="236"/>
        <v>1.2373846153846158E-4</v>
      </c>
      <c r="BJ113" s="463">
        <f t="shared" si="237"/>
        <v>1.8462229787234051E-3</v>
      </c>
      <c r="BK113" s="463">
        <f t="shared" si="238"/>
        <v>1.0865248226950357E-3</v>
      </c>
      <c r="BL113" s="463">
        <f t="shared" si="239"/>
        <v>3.4856689838297884E-3</v>
      </c>
      <c r="BM113">
        <f t="shared" si="240"/>
        <v>3.7699999999999999E-3</v>
      </c>
      <c r="BN113">
        <f t="shared" si="241"/>
        <v>1.7384397163120573E-6</v>
      </c>
      <c r="BO113" s="463">
        <f t="shared" si="242"/>
        <v>1.0330834229133704E-2</v>
      </c>
      <c r="BP113" s="147">
        <f t="shared" si="243"/>
        <v>10.312155246786691</v>
      </c>
      <c r="BQ113" s="463">
        <f t="shared" si="244"/>
        <v>6.6058966153846157E-3</v>
      </c>
      <c r="BT113" s="147">
        <f t="shared" si="245"/>
        <v>6.6058966153846157</v>
      </c>
      <c r="BU113" s="463">
        <f t="shared" si="246"/>
        <v>3.5353846153846172E-4</v>
      </c>
      <c r="BV113" s="463">
        <f t="shared" si="247"/>
        <v>7.1464615384615382E-3</v>
      </c>
      <c r="BW113" s="463">
        <f t="shared" si="248"/>
        <v>0</v>
      </c>
      <c r="BX113" s="463"/>
      <c r="BY113" s="463">
        <f t="shared" si="249"/>
        <v>9.7787234042553245E-4</v>
      </c>
      <c r="BZ113" s="147">
        <f t="shared" si="250"/>
        <v>8.4778723404255327</v>
      </c>
      <c r="CA113" s="153">
        <f t="shared" si="251"/>
        <v>2.5395924202596839E-2</v>
      </c>
      <c r="CB113" s="5">
        <f t="shared" si="252"/>
        <v>4.4999999999999998E-2</v>
      </c>
      <c r="CC113" s="153">
        <f t="shared" si="253"/>
        <v>0.63924155424810791</v>
      </c>
      <c r="CD113" s="5">
        <f t="shared" si="254"/>
        <v>63.924155424810792</v>
      </c>
      <c r="CG113" s="59">
        <f t="shared" si="255"/>
        <v>-50</v>
      </c>
      <c r="CH113">
        <f t="shared" si="256"/>
        <v>-50</v>
      </c>
    </row>
    <row r="114" spans="5:86" x14ac:dyDescent="0.25">
      <c r="E114" s="150">
        <v>4</v>
      </c>
      <c r="F114" s="191">
        <f t="shared" si="257"/>
        <v>4.0000000000000001E-3</v>
      </c>
      <c r="G114" s="191"/>
      <c r="H114" s="191">
        <f t="shared" si="201"/>
        <v>0.06</v>
      </c>
      <c r="I114" s="472">
        <f t="shared" si="202"/>
        <v>13</v>
      </c>
      <c r="J114" s="386">
        <f t="shared" si="203"/>
        <v>15.32</v>
      </c>
      <c r="K114" s="386">
        <f t="shared" si="204"/>
        <v>28.32</v>
      </c>
      <c r="L114" s="386"/>
      <c r="M114" s="191">
        <f t="shared" si="205"/>
        <v>0.54096045197740117</v>
      </c>
      <c r="N114" s="152">
        <f t="shared" si="206"/>
        <v>2.3997235845654528</v>
      </c>
      <c r="O114" s="152">
        <f t="shared" si="173"/>
        <v>0.06</v>
      </c>
      <c r="P114" s="191">
        <f t="shared" si="207"/>
        <v>0.15998157230436352</v>
      </c>
      <c r="Q114" s="191">
        <f t="shared" si="208"/>
        <v>15</v>
      </c>
      <c r="R114" s="191"/>
      <c r="S114" s="152">
        <f t="shared" si="209"/>
        <v>1083.8788369345716</v>
      </c>
      <c r="T114" s="152">
        <f t="shared" si="210"/>
        <v>15</v>
      </c>
      <c r="U114" s="191">
        <f t="shared" si="211"/>
        <v>1.8959630447881095E-2</v>
      </c>
      <c r="V114" s="191">
        <f t="shared" si="212"/>
        <v>6.8546356234647027E-2</v>
      </c>
      <c r="W114" s="191">
        <f t="shared" si="213"/>
        <v>5.816596808423051E-2</v>
      </c>
      <c r="X114" s="175">
        <f t="shared" si="214"/>
        <v>350</v>
      </c>
      <c r="Y114" s="386">
        <f t="shared" si="215"/>
        <v>350</v>
      </c>
      <c r="AA114" s="191">
        <f t="shared" si="216"/>
        <v>0.42750674016451157</v>
      </c>
      <c r="AB114" s="153">
        <f t="shared" si="217"/>
        <v>1.3115415657788541</v>
      </c>
      <c r="AC114" s="153">
        <f t="shared" si="218"/>
        <v>9.8121250390866027E-2</v>
      </c>
      <c r="AD114" s="153"/>
      <c r="AE114" s="153">
        <f t="shared" si="219"/>
        <v>0.46018276762402083</v>
      </c>
      <c r="AF114" s="317">
        <f t="shared" si="220"/>
        <v>115.89598108747049</v>
      </c>
      <c r="AG114" s="463">
        <f t="shared" si="221"/>
        <v>1.2079797650130546E-2</v>
      </c>
      <c r="AI114" s="153">
        <f t="shared" si="222"/>
        <v>8.6316023582250767E-2</v>
      </c>
      <c r="AJ114" s="153">
        <f t="shared" si="223"/>
        <v>0.15</v>
      </c>
      <c r="AK114" s="153">
        <f t="shared" si="224"/>
        <v>1.0662262749071261</v>
      </c>
      <c r="AM114" s="317">
        <f t="shared" si="225"/>
        <v>4</v>
      </c>
      <c r="AN114" s="147">
        <f t="shared" si="226"/>
        <v>115.89598108747049</v>
      </c>
      <c r="AP114" s="147">
        <f t="shared" si="227"/>
        <v>4</v>
      </c>
      <c r="AQ114" s="147">
        <f t="shared" si="228"/>
        <v>115.89598108747049</v>
      </c>
      <c r="AS114" s="5">
        <f t="shared" si="175"/>
        <v>8.6284268929503884</v>
      </c>
      <c r="AT114" s="5">
        <f t="shared" si="229"/>
        <v>0.54230769230769227</v>
      </c>
      <c r="AU114" s="5">
        <f t="shared" si="230"/>
        <v>8.0861192006426954</v>
      </c>
      <c r="AV114" s="5"/>
      <c r="AW114" s="153">
        <f t="shared" si="231"/>
        <v>6.285128205128207E-2</v>
      </c>
      <c r="AX114" s="153">
        <f t="shared" si="150"/>
        <v>6.1280000000000008E-2</v>
      </c>
      <c r="AY114" s="153">
        <f t="shared" si="151"/>
        <v>7.0286153846153845E-2</v>
      </c>
      <c r="AZ114" s="153">
        <f t="shared" si="178"/>
        <v>0.87186446613842328</v>
      </c>
      <c r="BA114" s="147">
        <f t="shared" si="232"/>
        <v>3.4876336995076449</v>
      </c>
      <c r="BB114" s="147">
        <f t="shared" si="233"/>
        <v>4.0247457577909276E-2</v>
      </c>
      <c r="BC114" s="5">
        <f t="shared" si="234"/>
        <v>5.5289703936018432E-2</v>
      </c>
      <c r="BD114" s="147">
        <f t="shared" si="235"/>
        <v>4.1621124105859968</v>
      </c>
      <c r="BF114" s="153">
        <f t="shared" si="179"/>
        <v>2.1711393676699237E-2</v>
      </c>
      <c r="BG114" s="153">
        <f t="shared" si="156"/>
        <v>8.3836837873427605E-2</v>
      </c>
      <c r="BI114" s="463">
        <f t="shared" si="236"/>
        <v>1.6498461538461546E-4</v>
      </c>
      <c r="BJ114" s="463">
        <f t="shared" si="237"/>
        <v>2.4616306382978731E-3</v>
      </c>
      <c r="BK114" s="463">
        <f t="shared" si="238"/>
        <v>1.4486997635933809E-3</v>
      </c>
      <c r="BL114" s="463">
        <f t="shared" si="239"/>
        <v>4.6475586451063845E-3</v>
      </c>
      <c r="BM114">
        <f t="shared" si="240"/>
        <v>3.7699999999999999E-3</v>
      </c>
      <c r="BN114">
        <f t="shared" si="241"/>
        <v>2.3179196217494096E-6</v>
      </c>
      <c r="BO114" s="463">
        <f t="shared" si="242"/>
        <v>1.2517845544062479E-2</v>
      </c>
      <c r="BP114" s="147">
        <f t="shared" si="243"/>
        <v>12.492873662382255</v>
      </c>
      <c r="BQ114" s="463">
        <f t="shared" si="244"/>
        <v>6.8978621538461557E-3</v>
      </c>
      <c r="BT114" s="147">
        <f t="shared" si="245"/>
        <v>6.8978621538461553</v>
      </c>
      <c r="BU114" s="463">
        <f t="shared" si="246"/>
        <v>4.7138461538461565E-4</v>
      </c>
      <c r="BV114" s="463">
        <f t="shared" si="247"/>
        <v>7.0286153846153858E-3</v>
      </c>
      <c r="BW114" s="463">
        <f t="shared" si="248"/>
        <v>0</v>
      </c>
      <c r="BX114" s="463"/>
      <c r="BY114" s="463">
        <f t="shared" si="249"/>
        <v>1.3038297872340432E-3</v>
      </c>
      <c r="BZ114" s="147">
        <f t="shared" si="250"/>
        <v>8.8038297872340436</v>
      </c>
      <c r="CA114" s="153">
        <f t="shared" si="251"/>
        <v>2.8194565603462458E-2</v>
      </c>
      <c r="CB114" s="5">
        <f t="shared" si="252"/>
        <v>0.06</v>
      </c>
      <c r="CC114" s="153">
        <f t="shared" si="253"/>
        <v>0.68031402603387214</v>
      </c>
      <c r="CD114" s="5">
        <f t="shared" si="254"/>
        <v>68.031402603387221</v>
      </c>
      <c r="CG114" s="59">
        <f t="shared" si="255"/>
        <v>-50</v>
      </c>
      <c r="CH114">
        <f t="shared" si="256"/>
        <v>-50</v>
      </c>
    </row>
    <row r="115" spans="5:86" x14ac:dyDescent="0.25">
      <c r="E115" s="150">
        <v>5</v>
      </c>
      <c r="F115" s="191">
        <f t="shared" si="257"/>
        <v>5.000000000000001E-3</v>
      </c>
      <c r="G115" s="191"/>
      <c r="H115" s="191">
        <f t="shared" si="201"/>
        <v>7.5000000000000011E-2</v>
      </c>
      <c r="I115" s="472">
        <f t="shared" si="202"/>
        <v>13</v>
      </c>
      <c r="J115" s="386">
        <f t="shared" si="203"/>
        <v>15.32</v>
      </c>
      <c r="K115" s="386">
        <f t="shared" si="204"/>
        <v>28.32</v>
      </c>
      <c r="L115" s="386"/>
      <c r="M115" s="191">
        <f t="shared" si="205"/>
        <v>0.54096045197740117</v>
      </c>
      <c r="N115" s="152">
        <f t="shared" si="206"/>
        <v>2.3997235845654528</v>
      </c>
      <c r="O115" s="152">
        <f t="shared" si="173"/>
        <v>7.5000000000000011E-2</v>
      </c>
      <c r="P115" s="191">
        <f t="shared" si="207"/>
        <v>0.15998157230436352</v>
      </c>
      <c r="Q115" s="191">
        <f t="shared" si="208"/>
        <v>15</v>
      </c>
      <c r="R115" s="191"/>
      <c r="S115" s="152">
        <f t="shared" si="209"/>
        <v>864.50481022277665</v>
      </c>
      <c r="T115" s="152">
        <f t="shared" si="210"/>
        <v>15</v>
      </c>
      <c r="U115" s="191">
        <f t="shared" si="211"/>
        <v>2.3699538059851373E-2</v>
      </c>
      <c r="V115" s="191">
        <f t="shared" si="212"/>
        <v>8.5682945293308804E-2</v>
      </c>
      <c r="W115" s="191">
        <f t="shared" si="213"/>
        <v>7.2707460105288141E-2</v>
      </c>
      <c r="X115" s="175">
        <f t="shared" si="214"/>
        <v>350</v>
      </c>
      <c r="Y115" s="386">
        <f t="shared" si="215"/>
        <v>350</v>
      </c>
      <c r="AA115" s="191">
        <f t="shared" si="216"/>
        <v>0.42750674016451157</v>
      </c>
      <c r="AB115" s="153">
        <f t="shared" si="217"/>
        <v>1.3115415657788541</v>
      </c>
      <c r="AC115" s="153">
        <f t="shared" si="218"/>
        <v>9.8121250390866027E-2</v>
      </c>
      <c r="AD115" s="153"/>
      <c r="AE115" s="153">
        <f t="shared" si="219"/>
        <v>0.46018276762402083</v>
      </c>
      <c r="AF115" s="317">
        <f t="shared" si="220"/>
        <v>144.86997635933812</v>
      </c>
      <c r="AG115" s="463">
        <f t="shared" si="221"/>
        <v>1.2079797650130546E-2</v>
      </c>
      <c r="AI115" s="153">
        <f t="shared" si="222"/>
        <v>9.6504248138693835E-2</v>
      </c>
      <c r="AJ115" s="153">
        <f t="shared" si="223"/>
        <v>0.15</v>
      </c>
      <c r="AK115" s="153">
        <f t="shared" si="224"/>
        <v>1.0827828436339075</v>
      </c>
      <c r="AM115" s="317">
        <f t="shared" si="225"/>
        <v>5.0000000000000009</v>
      </c>
      <c r="AN115" s="147">
        <f t="shared" si="226"/>
        <v>144.86997635933812</v>
      </c>
      <c r="AP115" s="147">
        <f t="shared" si="227"/>
        <v>5.0000000000000009</v>
      </c>
      <c r="AQ115" s="147">
        <f t="shared" si="228"/>
        <v>144.86997635933812</v>
      </c>
      <c r="AS115" s="5">
        <f t="shared" si="175"/>
        <v>6.9027415143603097</v>
      </c>
      <c r="AT115" s="5">
        <f t="shared" si="229"/>
        <v>0.54230769230769227</v>
      </c>
      <c r="AU115" s="5">
        <f t="shared" si="230"/>
        <v>6.3604338220526175</v>
      </c>
      <c r="AV115" s="5"/>
      <c r="AW115" s="153">
        <f t="shared" si="231"/>
        <v>7.8564102564102595E-2</v>
      </c>
      <c r="AX115" s="153">
        <f t="shared" si="150"/>
        <v>7.6600000000000015E-2</v>
      </c>
      <c r="AY115" s="153">
        <f t="shared" si="151"/>
        <v>6.9107692307692301E-2</v>
      </c>
      <c r="AZ115" s="153">
        <f t="shared" si="178"/>
        <v>1.1084149599287625</v>
      </c>
      <c r="BA115" s="147">
        <f t="shared" si="232"/>
        <v>3.4876336995076449</v>
      </c>
      <c r="BB115" s="147">
        <f t="shared" si="233"/>
        <v>5.9136652465483261E-2</v>
      </c>
      <c r="BC115" s="5">
        <f t="shared" si="234"/>
        <v>5.4362682239765973E-2</v>
      </c>
      <c r="BD115" s="147">
        <f t="shared" si="235"/>
        <v>4.0964319372132181</v>
      </c>
      <c r="BF115" s="153">
        <f t="shared" si="179"/>
        <v>2.427407607367929E-2</v>
      </c>
      <c r="BG115" s="153">
        <f t="shared" si="156"/>
        <v>8.3131036507246986E-2</v>
      </c>
      <c r="BI115" s="463">
        <f t="shared" si="236"/>
        <v>2.0623076923076929E-4</v>
      </c>
      <c r="BJ115" s="463">
        <f t="shared" si="237"/>
        <v>3.0770382978723421E-3</v>
      </c>
      <c r="BK115" s="463">
        <f t="shared" si="238"/>
        <v>1.8108747044917263E-3</v>
      </c>
      <c r="BL115" s="463">
        <f t="shared" si="239"/>
        <v>5.8094483063829815E-3</v>
      </c>
      <c r="BM115">
        <f t="shared" si="240"/>
        <v>3.7699999999999999E-3</v>
      </c>
      <c r="BN115">
        <f t="shared" si="241"/>
        <v>2.8973995271867624E-6</v>
      </c>
      <c r="BO115" s="463">
        <f t="shared" si="242"/>
        <v>1.4704890146199924E-2</v>
      </c>
      <c r="BP115" s="147">
        <f t="shared" si="243"/>
        <v>14.673592077977817</v>
      </c>
      <c r="BQ115" s="463">
        <f t="shared" si="244"/>
        <v>7.1898276923076923E-3</v>
      </c>
      <c r="BT115" s="147">
        <f t="shared" si="245"/>
        <v>7.1898276923076923</v>
      </c>
      <c r="BU115" s="463">
        <f t="shared" si="246"/>
        <v>5.8923076923076941E-4</v>
      </c>
      <c r="BV115" s="463">
        <f t="shared" si="247"/>
        <v>6.9107692307692307E-3</v>
      </c>
      <c r="BW115" s="463">
        <f t="shared" si="248"/>
        <v>0</v>
      </c>
      <c r="BX115" s="463"/>
      <c r="BY115" s="463">
        <f t="shared" si="249"/>
        <v>1.6297872340425542E-3</v>
      </c>
      <c r="BZ115" s="147">
        <f t="shared" si="250"/>
        <v>9.1297872340425528</v>
      </c>
      <c r="CA115" s="153">
        <f t="shared" si="251"/>
        <v>3.0993207004328064E-2</v>
      </c>
      <c r="CB115" s="5">
        <f t="shared" si="252"/>
        <v>7.5000000000000011E-2</v>
      </c>
      <c r="CC115" s="153">
        <f t="shared" si="253"/>
        <v>0.70759251578204918</v>
      </c>
      <c r="CD115" s="5">
        <f t="shared" si="254"/>
        <v>70.759251578204925</v>
      </c>
      <c r="CG115" s="59">
        <f t="shared" si="255"/>
        <v>-50</v>
      </c>
      <c r="CH115">
        <f t="shared" si="256"/>
        <v>-50</v>
      </c>
    </row>
    <row r="116" spans="5:86" x14ac:dyDescent="0.25">
      <c r="E116" s="150">
        <v>6</v>
      </c>
      <c r="F116" s="191">
        <f t="shared" si="257"/>
        <v>6.0000000000000001E-3</v>
      </c>
      <c r="G116" s="191"/>
      <c r="H116" s="191">
        <f t="shared" si="201"/>
        <v>0.09</v>
      </c>
      <c r="I116" s="472">
        <f t="shared" si="202"/>
        <v>13</v>
      </c>
      <c r="J116" s="386">
        <f t="shared" si="203"/>
        <v>15.32</v>
      </c>
      <c r="K116" s="386">
        <f t="shared" si="204"/>
        <v>28.32</v>
      </c>
      <c r="L116" s="386"/>
      <c r="M116" s="191">
        <f t="shared" si="205"/>
        <v>0.54096045197740117</v>
      </c>
      <c r="N116" s="152">
        <f t="shared" si="206"/>
        <v>2.3997235845654528</v>
      </c>
      <c r="O116" s="152">
        <f t="shared" si="173"/>
        <v>0.09</v>
      </c>
      <c r="P116" s="191">
        <f t="shared" si="207"/>
        <v>0.15998157230436352</v>
      </c>
      <c r="Q116" s="191">
        <f t="shared" si="208"/>
        <v>15</v>
      </c>
      <c r="R116" s="191"/>
      <c r="S116" s="152">
        <f t="shared" si="209"/>
        <v>718.25578922928162</v>
      </c>
      <c r="T116" s="152">
        <f t="shared" si="210"/>
        <v>15</v>
      </c>
      <c r="U116" s="191">
        <f t="shared" si="211"/>
        <v>2.8439445671821644E-2</v>
      </c>
      <c r="V116" s="191">
        <f t="shared" si="212"/>
        <v>0.10281953435197055</v>
      </c>
      <c r="W116" s="191">
        <f t="shared" si="213"/>
        <v>8.7248952126345758E-2</v>
      </c>
      <c r="X116" s="175">
        <f t="shared" si="214"/>
        <v>350</v>
      </c>
      <c r="Y116" s="386">
        <f t="shared" si="215"/>
        <v>350</v>
      </c>
      <c r="AA116" s="191">
        <f t="shared" si="216"/>
        <v>0.42750674016451157</v>
      </c>
      <c r="AB116" s="153">
        <f t="shared" si="217"/>
        <v>1.3115415657788541</v>
      </c>
      <c r="AC116" s="153">
        <f t="shared" si="218"/>
        <v>9.8121250390866027E-2</v>
      </c>
      <c r="AD116" s="153"/>
      <c r="AE116" s="153">
        <f t="shared" si="219"/>
        <v>0.46018276762402083</v>
      </c>
      <c r="AF116" s="317">
        <f t="shared" si="220"/>
        <v>173.84397163120573</v>
      </c>
      <c r="AG116" s="463">
        <f t="shared" si="221"/>
        <v>1.2079797650130546E-2</v>
      </c>
      <c r="AI116" s="153">
        <f t="shared" si="222"/>
        <v>0.10571510720127708</v>
      </c>
      <c r="AJ116" s="153">
        <f t="shared" si="223"/>
        <v>0.15</v>
      </c>
      <c r="AK116" s="153">
        <f t="shared" si="224"/>
        <v>1.099339412360689</v>
      </c>
      <c r="AM116" s="317">
        <f t="shared" si="225"/>
        <v>6</v>
      </c>
      <c r="AN116" s="147">
        <f t="shared" si="226"/>
        <v>173.84397163120573</v>
      </c>
      <c r="AP116" s="147">
        <f t="shared" si="227"/>
        <v>6</v>
      </c>
      <c r="AQ116" s="147">
        <f t="shared" si="228"/>
        <v>173.84397163120573</v>
      </c>
      <c r="AS116" s="5">
        <f t="shared" si="175"/>
        <v>5.7522845953002593</v>
      </c>
      <c r="AT116" s="5">
        <f t="shared" si="229"/>
        <v>0.54230769230769227</v>
      </c>
      <c r="AU116" s="5">
        <f t="shared" si="230"/>
        <v>5.2099769029925671</v>
      </c>
      <c r="AV116" s="5"/>
      <c r="AW116" s="153">
        <f t="shared" si="231"/>
        <v>9.4276923076923105E-2</v>
      </c>
      <c r="AX116" s="153">
        <f t="shared" si="150"/>
        <v>9.1920000000000016E-2</v>
      </c>
      <c r="AY116" s="153">
        <f t="shared" si="151"/>
        <v>6.7929230769230756E-2</v>
      </c>
      <c r="AZ116" s="153">
        <f t="shared" si="178"/>
        <v>1.3531729854599814</v>
      </c>
      <c r="BA116" s="147">
        <f t="shared" si="232"/>
        <v>3.4876336995076449</v>
      </c>
      <c r="BB116" s="147">
        <f t="shared" si="233"/>
        <v>8.1556779550295874E-2</v>
      </c>
      <c r="BC116" s="5">
        <f t="shared" si="234"/>
        <v>5.3435660543513508E-2</v>
      </c>
      <c r="BD116" s="147">
        <f t="shared" si="235"/>
        <v>4.0307514638404358</v>
      </c>
      <c r="BF116" s="153">
        <f t="shared" si="179"/>
        <v>2.6590918056301167E-2</v>
      </c>
      <c r="BG116" s="153">
        <f t="shared" si="156"/>
        <v>8.24191911930897E-2</v>
      </c>
      <c r="BI116" s="463">
        <f t="shared" si="236"/>
        <v>2.4747692307692317E-4</v>
      </c>
      <c r="BJ116" s="463">
        <f t="shared" si="237"/>
        <v>3.6924459574468101E-3</v>
      </c>
      <c r="BK116" s="463">
        <f t="shared" si="238"/>
        <v>2.1730496453900715E-3</v>
      </c>
      <c r="BL116" s="463">
        <f t="shared" si="239"/>
        <v>6.9713379676595768E-3</v>
      </c>
      <c r="BM116">
        <f t="shared" si="240"/>
        <v>3.7699999999999999E-3</v>
      </c>
      <c r="BN116">
        <f t="shared" si="241"/>
        <v>3.4768794326241147E-6</v>
      </c>
      <c r="BO116" s="463">
        <f t="shared" si="242"/>
        <v>1.6891968036306004E-2</v>
      </c>
      <c r="BP116" s="147">
        <f t="shared" si="243"/>
        <v>16.854310493573379</v>
      </c>
      <c r="BQ116" s="463">
        <f t="shared" si="244"/>
        <v>7.4817932307692289E-3</v>
      </c>
      <c r="BT116" s="147">
        <f t="shared" si="245"/>
        <v>7.4817932307692292</v>
      </c>
      <c r="BU116" s="463">
        <f t="shared" si="246"/>
        <v>7.0707692307692344E-4</v>
      </c>
      <c r="BV116" s="463">
        <f t="shared" si="247"/>
        <v>6.7929230769230749E-3</v>
      </c>
      <c r="BW116" s="463">
        <f t="shared" si="248"/>
        <v>0</v>
      </c>
      <c r="BX116" s="463"/>
      <c r="BY116" s="463">
        <f t="shared" si="249"/>
        <v>1.9557446808510649E-3</v>
      </c>
      <c r="BZ116" s="147">
        <f t="shared" si="250"/>
        <v>9.4557446808510637</v>
      </c>
      <c r="CA116" s="153">
        <f t="shared" si="251"/>
        <v>3.3791848405193677E-2</v>
      </c>
      <c r="CB116" s="5">
        <f t="shared" si="252"/>
        <v>0.09</v>
      </c>
      <c r="CC116" s="153">
        <f t="shared" si="253"/>
        <v>0.72702686937360617</v>
      </c>
      <c r="CD116" s="5">
        <f t="shared" si="254"/>
        <v>72.70268693736061</v>
      </c>
      <c r="CG116" s="59">
        <f t="shared" si="255"/>
        <v>-50</v>
      </c>
      <c r="CH116">
        <f t="shared" si="256"/>
        <v>-50</v>
      </c>
    </row>
    <row r="117" spans="5:86" x14ac:dyDescent="0.25">
      <c r="E117" s="150">
        <v>7</v>
      </c>
      <c r="F117" s="191">
        <f t="shared" si="257"/>
        <v>7.000000000000001E-3</v>
      </c>
      <c r="G117" s="191"/>
      <c r="H117" s="191">
        <f t="shared" si="201"/>
        <v>0.10500000000000001</v>
      </c>
      <c r="I117" s="472">
        <f t="shared" si="202"/>
        <v>13</v>
      </c>
      <c r="J117" s="386">
        <f t="shared" si="203"/>
        <v>15.32</v>
      </c>
      <c r="K117" s="386">
        <f t="shared" si="204"/>
        <v>28.32</v>
      </c>
      <c r="L117" s="386"/>
      <c r="M117" s="191">
        <f t="shared" si="205"/>
        <v>0.54096045197740117</v>
      </c>
      <c r="N117" s="152">
        <f t="shared" si="206"/>
        <v>2.3997235845654528</v>
      </c>
      <c r="O117" s="152">
        <f t="shared" si="173"/>
        <v>0.10500000000000001</v>
      </c>
      <c r="P117" s="191">
        <f t="shared" si="207"/>
        <v>0.15998157230436352</v>
      </c>
      <c r="Q117" s="191">
        <f t="shared" si="208"/>
        <v>15</v>
      </c>
      <c r="R117" s="191"/>
      <c r="S117" s="152">
        <f t="shared" si="209"/>
        <v>613.79248828897801</v>
      </c>
      <c r="T117" s="152">
        <f t="shared" si="210"/>
        <v>15</v>
      </c>
      <c r="U117" s="191">
        <f t="shared" si="211"/>
        <v>3.3179353283791922E-2</v>
      </c>
      <c r="V117" s="191">
        <f t="shared" si="212"/>
        <v>0.11995612341063232</v>
      </c>
      <c r="W117" s="191">
        <f t="shared" si="213"/>
        <v>0.1017904441474034</v>
      </c>
      <c r="X117" s="175">
        <f t="shared" si="214"/>
        <v>350</v>
      </c>
      <c r="Y117" s="386">
        <f t="shared" si="215"/>
        <v>350</v>
      </c>
      <c r="AA117" s="191">
        <f t="shared" si="216"/>
        <v>0.42750674016451157</v>
      </c>
      <c r="AB117" s="153">
        <f t="shared" si="217"/>
        <v>1.3115415657788541</v>
      </c>
      <c r="AC117" s="153">
        <f t="shared" si="218"/>
        <v>9.8121250390866027E-2</v>
      </c>
      <c r="AD117" s="153"/>
      <c r="AE117" s="153">
        <f t="shared" si="219"/>
        <v>0.46018276762402083</v>
      </c>
      <c r="AF117" s="317">
        <f t="shared" si="220"/>
        <v>202.81796690307337</v>
      </c>
      <c r="AG117" s="463">
        <f t="shared" si="221"/>
        <v>1.2079797650130546E-2</v>
      </c>
      <c r="AI117" s="153">
        <f t="shared" si="222"/>
        <v>0.11418536627931106</v>
      </c>
      <c r="AJ117" s="153">
        <f t="shared" si="223"/>
        <v>0.15</v>
      </c>
      <c r="AK117" s="153">
        <f t="shared" si="224"/>
        <v>1.1158959810874705</v>
      </c>
      <c r="AM117" s="317">
        <f t="shared" si="225"/>
        <v>7.0000000000000009</v>
      </c>
      <c r="AN117" s="147">
        <f t="shared" si="226"/>
        <v>202.81796690307337</v>
      </c>
      <c r="AP117" s="147">
        <f t="shared" si="227"/>
        <v>7.0000000000000009</v>
      </c>
      <c r="AQ117" s="147">
        <f t="shared" si="228"/>
        <v>202.81796690307337</v>
      </c>
      <c r="AS117" s="5">
        <f t="shared" si="175"/>
        <v>4.9305296531145073</v>
      </c>
      <c r="AT117" s="5">
        <f t="shared" si="229"/>
        <v>0.54230769230769227</v>
      </c>
      <c r="AU117" s="5">
        <f t="shared" si="230"/>
        <v>4.3882219608068151</v>
      </c>
      <c r="AV117" s="5"/>
      <c r="AW117" s="153">
        <f t="shared" si="231"/>
        <v>0.10998974358974363</v>
      </c>
      <c r="AX117" s="153">
        <f t="shared" si="150"/>
        <v>0.10724000000000003</v>
      </c>
      <c r="AY117" s="153">
        <f t="shared" si="151"/>
        <v>6.6750769230769225E-2</v>
      </c>
      <c r="AZ117" s="153">
        <f t="shared" si="178"/>
        <v>1.6065732460588187</v>
      </c>
      <c r="BA117" s="147">
        <f t="shared" si="232"/>
        <v>3.4876336995076449</v>
      </c>
      <c r="BB117" s="147">
        <f t="shared" si="233"/>
        <v>0.10750783883234719</v>
      </c>
      <c r="BC117" s="5">
        <f t="shared" ref="BC117:BC180" si="258">H117/Efficiency/I117*AU117/Vinripple1</f>
        <v>5.2508638847261035E-2</v>
      </c>
      <c r="BD117" s="147">
        <f t="shared" si="235"/>
        <v>3.9650709904676553</v>
      </c>
      <c r="BF117" s="153">
        <f t="shared" si="179"/>
        <v>2.872147414258323E-2</v>
      </c>
      <c r="BG117" s="153">
        <f t="shared" si="156"/>
        <v>8.1701143952070343E-2</v>
      </c>
      <c r="BI117" s="463">
        <f t="shared" si="236"/>
        <v>2.8872307692307696E-4</v>
      </c>
      <c r="BJ117" s="463">
        <f t="shared" si="237"/>
        <v>4.3078536170212791E-3</v>
      </c>
      <c r="BK117" s="463">
        <f t="shared" si="238"/>
        <v>2.5352245862884171E-3</v>
      </c>
      <c r="BL117" s="463">
        <f t="shared" si="239"/>
        <v>8.1332276289361738E-3</v>
      </c>
      <c r="BM117">
        <f t="shared" si="240"/>
        <v>3.7699999999999999E-3</v>
      </c>
      <c r="BN117">
        <f t="shared" si="241"/>
        <v>4.0563593380614678E-6</v>
      </c>
      <c r="BO117" s="463">
        <f t="shared" si="242"/>
        <v>1.9079079215140734E-2</v>
      </c>
      <c r="BP117" s="147">
        <f t="shared" si="243"/>
        <v>19.035028909168947</v>
      </c>
      <c r="BQ117" s="463">
        <f t="shared" si="244"/>
        <v>7.7737587692307689E-3</v>
      </c>
      <c r="BT117" s="147">
        <f t="shared" si="245"/>
        <v>7.7737587692307688</v>
      </c>
      <c r="BU117" s="463">
        <f t="shared" si="246"/>
        <v>8.2492307692307715E-4</v>
      </c>
      <c r="BV117" s="463">
        <f t="shared" si="247"/>
        <v>6.6750769230769207E-3</v>
      </c>
      <c r="BW117" s="463">
        <f t="shared" si="248"/>
        <v>0</v>
      </c>
      <c r="BX117" s="463"/>
      <c r="BY117" s="463">
        <f t="shared" si="249"/>
        <v>2.2817021276595757E-3</v>
      </c>
      <c r="BZ117" s="147">
        <f t="shared" si="250"/>
        <v>9.7817021276595728</v>
      </c>
      <c r="CA117" s="153">
        <f t="shared" si="251"/>
        <v>3.6590489806059286E-2</v>
      </c>
      <c r="CB117" s="5">
        <f t="shared" si="252"/>
        <v>0.10500000000000001</v>
      </c>
      <c r="CC117" s="153">
        <f t="shared" si="253"/>
        <v>0.74157522969107348</v>
      </c>
      <c r="CD117" s="5">
        <f t="shared" si="254"/>
        <v>74.157522969107347</v>
      </c>
      <c r="CG117" s="59">
        <f t="shared" si="255"/>
        <v>-50</v>
      </c>
      <c r="CH117">
        <f t="shared" si="256"/>
        <v>-50</v>
      </c>
    </row>
    <row r="118" spans="5:86" x14ac:dyDescent="0.25">
      <c r="E118" s="150">
        <v>8</v>
      </c>
      <c r="F118" s="191">
        <f t="shared" si="257"/>
        <v>8.0000000000000002E-3</v>
      </c>
      <c r="G118" s="191"/>
      <c r="H118" s="191">
        <f t="shared" si="201"/>
        <v>0.12</v>
      </c>
      <c r="I118" s="472">
        <f t="shared" si="202"/>
        <v>13</v>
      </c>
      <c r="J118" s="386">
        <f t="shared" si="203"/>
        <v>15.32</v>
      </c>
      <c r="K118" s="386">
        <f t="shared" si="204"/>
        <v>28.32</v>
      </c>
      <c r="L118" s="386"/>
      <c r="M118" s="191">
        <f t="shared" si="205"/>
        <v>0.54096045197740117</v>
      </c>
      <c r="N118" s="152">
        <f t="shared" si="206"/>
        <v>2.3997235845654528</v>
      </c>
      <c r="O118" s="152">
        <f t="shared" si="173"/>
        <v>0.12</v>
      </c>
      <c r="P118" s="191">
        <f t="shared" si="207"/>
        <v>0.15998157230436352</v>
      </c>
      <c r="Q118" s="191">
        <f t="shared" si="208"/>
        <v>15</v>
      </c>
      <c r="R118" s="191"/>
      <c r="S118" s="152">
        <f t="shared" si="209"/>
        <v>535.44526459445001</v>
      </c>
      <c r="T118" s="152">
        <f t="shared" si="210"/>
        <v>15</v>
      </c>
      <c r="U118" s="191">
        <f t="shared" si="211"/>
        <v>3.791926089576219E-2</v>
      </c>
      <c r="V118" s="191">
        <f t="shared" si="212"/>
        <v>0.13709271246929405</v>
      </c>
      <c r="W118" s="191">
        <f t="shared" si="213"/>
        <v>0.11633193616846102</v>
      </c>
      <c r="X118" s="175">
        <f t="shared" si="214"/>
        <v>350</v>
      </c>
      <c r="Y118" s="386">
        <f t="shared" si="215"/>
        <v>350</v>
      </c>
      <c r="AA118" s="191">
        <f t="shared" si="216"/>
        <v>0.42750674016451157</v>
      </c>
      <c r="AB118" s="153">
        <f t="shared" si="217"/>
        <v>1.3115415657788541</v>
      </c>
      <c r="AC118" s="153">
        <f t="shared" si="218"/>
        <v>9.8121250390866027E-2</v>
      </c>
      <c r="AD118" s="153"/>
      <c r="AE118" s="153">
        <f t="shared" si="219"/>
        <v>0.46018276762402083</v>
      </c>
      <c r="AF118" s="317">
        <f t="shared" si="220"/>
        <v>231.79196217494098</v>
      </c>
      <c r="AG118" s="463">
        <f t="shared" si="221"/>
        <v>1.2079797650130546E-2</v>
      </c>
      <c r="AI118" s="153">
        <f t="shared" si="222"/>
        <v>0.12206929120013495</v>
      </c>
      <c r="AJ118" s="153">
        <f t="shared" si="223"/>
        <v>0.15</v>
      </c>
      <c r="AK118" s="153">
        <f t="shared" si="224"/>
        <v>1.1324525498142519</v>
      </c>
      <c r="AM118" s="317">
        <f t="shared" si="225"/>
        <v>8</v>
      </c>
      <c r="AN118" s="147">
        <f t="shared" si="226"/>
        <v>231.79196217494098</v>
      </c>
      <c r="AP118" s="147">
        <f t="shared" si="227"/>
        <v>8</v>
      </c>
      <c r="AQ118" s="147">
        <f t="shared" si="228"/>
        <v>231.79196217494098</v>
      </c>
      <c r="AS118" s="5">
        <f t="shared" si="175"/>
        <v>4.3142134464751942</v>
      </c>
      <c r="AT118" s="5">
        <f t="shared" si="229"/>
        <v>0.54230769230769227</v>
      </c>
      <c r="AU118" s="5">
        <f t="shared" si="230"/>
        <v>3.7719057541675021</v>
      </c>
      <c r="AV118" s="5"/>
      <c r="AW118" s="153">
        <f t="shared" si="231"/>
        <v>0.12570256410256414</v>
      </c>
      <c r="AX118" s="153">
        <f t="shared" si="150"/>
        <v>0.12256000000000002</v>
      </c>
      <c r="AY118" s="153">
        <f t="shared" si="151"/>
        <v>6.557230769230768E-2</v>
      </c>
      <c r="AZ118" s="153">
        <f t="shared" si="178"/>
        <v>1.8690816948993483</v>
      </c>
      <c r="BA118" s="147">
        <f t="shared" si="232"/>
        <v>3.4876336995076449</v>
      </c>
      <c r="BB118" s="147">
        <f t="shared" si="233"/>
        <v>0.13698983031163708</v>
      </c>
      <c r="BC118" s="5">
        <f t="shared" si="258"/>
        <v>5.158161715100857E-2</v>
      </c>
      <c r="BD118" s="147">
        <f t="shared" si="235"/>
        <v>3.8993905170948731</v>
      </c>
      <c r="BF118" s="153">
        <f t="shared" si="179"/>
        <v>3.0704547395609516E-2</v>
      </c>
      <c r="BG118" s="153">
        <f t="shared" si="156"/>
        <v>8.0976729800793804E-2</v>
      </c>
      <c r="BI118" s="463">
        <f t="shared" si="236"/>
        <v>3.2996923076923087E-4</v>
      </c>
      <c r="BJ118" s="463">
        <f t="shared" si="237"/>
        <v>4.9232612765957463E-3</v>
      </c>
      <c r="BK118" s="463">
        <f t="shared" si="238"/>
        <v>2.8973995271867618E-3</v>
      </c>
      <c r="BL118" s="463">
        <f t="shared" si="239"/>
        <v>9.2951172902127691E-3</v>
      </c>
      <c r="BM118">
        <f t="shared" si="240"/>
        <v>3.7699999999999999E-3</v>
      </c>
      <c r="BN118">
        <f t="shared" si="241"/>
        <v>4.6358392434988193E-6</v>
      </c>
      <c r="BO118" s="463">
        <f t="shared" si="242"/>
        <v>2.1266223683464106E-2</v>
      </c>
      <c r="BP118" s="147">
        <f t="shared" si="243"/>
        <v>21.215747324764507</v>
      </c>
      <c r="BQ118" s="463">
        <f t="shared" si="244"/>
        <v>8.0657243076923072E-3</v>
      </c>
      <c r="BT118" s="147">
        <f t="shared" si="245"/>
        <v>8.0657243076923066</v>
      </c>
      <c r="BU118" s="463">
        <f t="shared" si="246"/>
        <v>9.4276923076923108E-4</v>
      </c>
      <c r="BV118" s="463">
        <f t="shared" si="247"/>
        <v>6.5572307692307675E-3</v>
      </c>
      <c r="BW118" s="463">
        <f t="shared" si="248"/>
        <v>0</v>
      </c>
      <c r="BX118" s="463"/>
      <c r="BY118" s="463">
        <f t="shared" si="249"/>
        <v>2.6076595744680864E-3</v>
      </c>
      <c r="BZ118" s="147">
        <f t="shared" si="250"/>
        <v>10.107659574468085</v>
      </c>
      <c r="CA118" s="153">
        <f t="shared" si="251"/>
        <v>3.9389131206924902E-2</v>
      </c>
      <c r="CB118" s="5">
        <f t="shared" si="252"/>
        <v>0.12</v>
      </c>
      <c r="CC118" s="153">
        <f t="shared" si="253"/>
        <v>0.75287442180867115</v>
      </c>
      <c r="CD118" s="5">
        <f t="shared" si="254"/>
        <v>75.287442180867117</v>
      </c>
      <c r="CG118" s="59">
        <f t="shared" si="255"/>
        <v>-50</v>
      </c>
      <c r="CH118">
        <f t="shared" si="256"/>
        <v>-50</v>
      </c>
    </row>
    <row r="119" spans="5:86" x14ac:dyDescent="0.25">
      <c r="E119" s="150">
        <v>9</v>
      </c>
      <c r="F119" s="191">
        <f t="shared" si="257"/>
        <v>8.9999999999999993E-3</v>
      </c>
      <c r="G119" s="191"/>
      <c r="H119" s="191">
        <f t="shared" si="201"/>
        <v>0.13499999999999998</v>
      </c>
      <c r="I119" s="472">
        <f t="shared" si="202"/>
        <v>13</v>
      </c>
      <c r="J119" s="386">
        <f t="shared" si="203"/>
        <v>15.32</v>
      </c>
      <c r="K119" s="386">
        <f t="shared" si="204"/>
        <v>28.32</v>
      </c>
      <c r="L119" s="386"/>
      <c r="M119" s="191">
        <f t="shared" si="205"/>
        <v>0.54096045197740117</v>
      </c>
      <c r="N119" s="152">
        <f t="shared" si="206"/>
        <v>2.3997235845654528</v>
      </c>
      <c r="O119" s="152">
        <f t="shared" si="173"/>
        <v>0.13499999999999998</v>
      </c>
      <c r="P119" s="191">
        <f t="shared" si="207"/>
        <v>0.15998157230436352</v>
      </c>
      <c r="Q119" s="191">
        <f t="shared" si="208"/>
        <v>15</v>
      </c>
      <c r="R119" s="191"/>
      <c r="S119" s="152">
        <f t="shared" si="209"/>
        <v>474.50876105312335</v>
      </c>
      <c r="T119" s="152">
        <f t="shared" si="210"/>
        <v>15</v>
      </c>
      <c r="U119" s="191">
        <f t="shared" si="211"/>
        <v>4.2659168507732464E-2</v>
      </c>
      <c r="V119" s="191">
        <f t="shared" si="212"/>
        <v>0.15422930152795583</v>
      </c>
      <c r="W119" s="191">
        <f t="shared" si="213"/>
        <v>0.13087342818951864</v>
      </c>
      <c r="X119" s="175">
        <f t="shared" si="214"/>
        <v>350</v>
      </c>
      <c r="Y119" s="386">
        <f t="shared" si="215"/>
        <v>350</v>
      </c>
      <c r="AA119" s="191">
        <f t="shared" si="216"/>
        <v>0.42750674016451157</v>
      </c>
      <c r="AB119" s="153">
        <f t="shared" si="217"/>
        <v>1.3115415657788541</v>
      </c>
      <c r="AC119" s="153">
        <f t="shared" si="218"/>
        <v>9.8121250390866027E-2</v>
      </c>
      <c r="AD119" s="153"/>
      <c r="AE119" s="153">
        <f t="shared" si="219"/>
        <v>0.46018276762402083</v>
      </c>
      <c r="AF119" s="317">
        <f t="shared" si="220"/>
        <v>260.76595744680856</v>
      </c>
      <c r="AG119" s="463">
        <f t="shared" si="221"/>
        <v>1.2079797650130546E-2</v>
      </c>
      <c r="AI119" s="153">
        <f t="shared" si="222"/>
        <v>0.12947403537337615</v>
      </c>
      <c r="AJ119" s="153">
        <f t="shared" si="223"/>
        <v>0.15</v>
      </c>
      <c r="AK119" s="153">
        <f t="shared" si="224"/>
        <v>1.1490091185410334</v>
      </c>
      <c r="AM119" s="317">
        <f t="shared" si="225"/>
        <v>9</v>
      </c>
      <c r="AN119" s="147">
        <f t="shared" si="226"/>
        <v>260.76595744680856</v>
      </c>
      <c r="AP119" s="147">
        <f t="shared" si="227"/>
        <v>9</v>
      </c>
      <c r="AQ119" s="147">
        <f t="shared" si="228"/>
        <v>260.76595744680856</v>
      </c>
      <c r="AS119" s="5">
        <f t="shared" si="175"/>
        <v>3.8348563968668401</v>
      </c>
      <c r="AT119" s="5">
        <f t="shared" si="229"/>
        <v>0.54230769230769227</v>
      </c>
      <c r="AU119" s="5">
        <f t="shared" si="230"/>
        <v>3.2925487045591479</v>
      </c>
      <c r="AV119" s="5"/>
      <c r="AW119" s="153">
        <f t="shared" si="231"/>
        <v>0.14141538461538464</v>
      </c>
      <c r="AX119" s="153">
        <f t="shared" si="150"/>
        <v>0.13788</v>
      </c>
      <c r="AY119" s="153">
        <f t="shared" si="151"/>
        <v>6.4393846153846149E-2</v>
      </c>
      <c r="AZ119" s="153">
        <f t="shared" si="178"/>
        <v>2.1411983944954129</v>
      </c>
      <c r="BA119" s="147">
        <f t="shared" si="232"/>
        <v>3.4876336995076449</v>
      </c>
      <c r="BB119" s="147">
        <f t="shared" si="233"/>
        <v>0.17000275398816567</v>
      </c>
      <c r="BC119" s="5">
        <f t="shared" si="258"/>
        <v>5.0654595454756111E-2</v>
      </c>
      <c r="BD119" s="147">
        <f t="shared" si="235"/>
        <v>3.833710043722093</v>
      </c>
      <c r="BF119" s="153">
        <f t="shared" si="179"/>
        <v>3.2567090515048851E-2</v>
      </c>
      <c r="BG119" s="153">
        <f t="shared" si="156"/>
        <v>8.0245776308691882E-2</v>
      </c>
      <c r="BI119" s="463">
        <f t="shared" si="236"/>
        <v>3.7121538461538467E-4</v>
      </c>
      <c r="BJ119" s="463">
        <f t="shared" si="237"/>
        <v>5.5386689361702152E-3</v>
      </c>
      <c r="BK119" s="463">
        <f t="shared" si="238"/>
        <v>3.2595744680851066E-3</v>
      </c>
      <c r="BL119" s="463">
        <f t="shared" si="239"/>
        <v>1.0457006951489364E-2</v>
      </c>
      <c r="BM119">
        <f t="shared" si="240"/>
        <v>3.7699999999999999E-3</v>
      </c>
      <c r="BN119">
        <f t="shared" si="241"/>
        <v>5.2153191489361716E-6</v>
      </c>
      <c r="BO119" s="463">
        <f t="shared" si="242"/>
        <v>2.3453401442036181E-2</v>
      </c>
      <c r="BP119" s="147">
        <f t="shared" si="243"/>
        <v>23.396465740360071</v>
      </c>
      <c r="BQ119" s="463">
        <f t="shared" si="244"/>
        <v>8.3576898461538464E-3</v>
      </c>
      <c r="BT119" s="147">
        <f t="shared" si="245"/>
        <v>8.3576898461538462</v>
      </c>
      <c r="BU119" s="463">
        <f t="shared" si="246"/>
        <v>1.0606153846153849E-3</v>
      </c>
      <c r="BV119" s="463">
        <f t="shared" si="247"/>
        <v>6.439384615384615E-3</v>
      </c>
      <c r="BW119" s="463">
        <f t="shared" si="248"/>
        <v>0</v>
      </c>
      <c r="BX119" s="463"/>
      <c r="BY119" s="463">
        <f t="shared" si="249"/>
        <v>2.9336170212765963E-3</v>
      </c>
      <c r="BZ119" s="147">
        <f t="shared" si="250"/>
        <v>10.433617021276596</v>
      </c>
      <c r="CA119" s="153">
        <f t="shared" si="251"/>
        <v>4.2187772607790511E-2</v>
      </c>
      <c r="CB119" s="5">
        <f t="shared" si="252"/>
        <v>0.13499999999999998</v>
      </c>
      <c r="CC119" s="153">
        <f t="shared" si="253"/>
        <v>0.76190358969535554</v>
      </c>
      <c r="CD119" s="5">
        <f t="shared" si="254"/>
        <v>76.190358969535552</v>
      </c>
      <c r="CG119" s="59">
        <f t="shared" si="255"/>
        <v>-50</v>
      </c>
      <c r="CH119">
        <f t="shared" si="256"/>
        <v>-50</v>
      </c>
    </row>
    <row r="120" spans="5:86" x14ac:dyDescent="0.25">
      <c r="E120" s="150">
        <v>10</v>
      </c>
      <c r="F120" s="191">
        <f t="shared" si="257"/>
        <v>1.0000000000000002E-2</v>
      </c>
      <c r="G120" s="191"/>
      <c r="H120" s="191">
        <f t="shared" si="201"/>
        <v>0.15000000000000002</v>
      </c>
      <c r="I120" s="472">
        <f t="shared" si="202"/>
        <v>13</v>
      </c>
      <c r="J120" s="386">
        <f t="shared" si="203"/>
        <v>15.32</v>
      </c>
      <c r="K120" s="386">
        <f t="shared" si="204"/>
        <v>28.32</v>
      </c>
      <c r="L120" s="386"/>
      <c r="M120" s="191">
        <f t="shared" si="205"/>
        <v>0.54096045197740117</v>
      </c>
      <c r="N120" s="152">
        <f t="shared" si="206"/>
        <v>2.3997235845654528</v>
      </c>
      <c r="O120" s="152">
        <f t="shared" si="173"/>
        <v>0.15000000000000002</v>
      </c>
      <c r="P120" s="191">
        <f t="shared" si="207"/>
        <v>0.15998157230436352</v>
      </c>
      <c r="Q120" s="191">
        <f t="shared" si="208"/>
        <v>15</v>
      </c>
      <c r="R120" s="191"/>
      <c r="S120" s="152">
        <f t="shared" si="209"/>
        <v>425.75976343012979</v>
      </c>
      <c r="T120" s="152">
        <f t="shared" si="210"/>
        <v>15</v>
      </c>
      <c r="U120" s="191">
        <f t="shared" si="211"/>
        <v>4.7399076119702746E-2</v>
      </c>
      <c r="V120" s="191">
        <f t="shared" si="212"/>
        <v>0.17136589058661761</v>
      </c>
      <c r="W120" s="191">
        <f t="shared" si="213"/>
        <v>0.14541492021057628</v>
      </c>
      <c r="X120" s="175">
        <f t="shared" si="214"/>
        <v>350</v>
      </c>
      <c r="Y120" s="386">
        <f t="shared" si="215"/>
        <v>350</v>
      </c>
      <c r="AA120" s="191">
        <f t="shared" si="216"/>
        <v>0.42750674016451157</v>
      </c>
      <c r="AB120" s="153">
        <f t="shared" si="217"/>
        <v>1.3115415657788541</v>
      </c>
      <c r="AC120" s="153">
        <f t="shared" si="218"/>
        <v>9.8121250390866027E-2</v>
      </c>
      <c r="AD120" s="153"/>
      <c r="AE120" s="153">
        <f t="shared" si="219"/>
        <v>0.46018276762402083</v>
      </c>
      <c r="AF120" s="317">
        <f t="shared" si="220"/>
        <v>289.73995271867625</v>
      </c>
      <c r="AG120" s="463">
        <f t="shared" si="221"/>
        <v>1.2079797650130546E-2</v>
      </c>
      <c r="AI120" s="153">
        <f t="shared" si="222"/>
        <v>0.13647761654435933</v>
      </c>
      <c r="AJ120" s="153">
        <f t="shared" si="223"/>
        <v>0.15</v>
      </c>
      <c r="AK120" s="153">
        <f t="shared" si="224"/>
        <v>1.1655656872678151</v>
      </c>
      <c r="AM120" s="317">
        <f t="shared" si="225"/>
        <v>10.000000000000002</v>
      </c>
      <c r="AN120" s="147">
        <f t="shared" si="226"/>
        <v>289.73995271867625</v>
      </c>
      <c r="AP120" s="147">
        <f t="shared" si="227"/>
        <v>10.000000000000002</v>
      </c>
      <c r="AQ120" s="147">
        <f t="shared" si="228"/>
        <v>289.73995271867625</v>
      </c>
      <c r="AS120" s="5">
        <f t="shared" si="175"/>
        <v>3.4513707571801548</v>
      </c>
      <c r="AT120" s="5">
        <f t="shared" si="229"/>
        <v>0.54230769230769227</v>
      </c>
      <c r="AU120" s="5">
        <f t="shared" si="230"/>
        <v>2.9090630648724627</v>
      </c>
      <c r="AV120" s="5"/>
      <c r="AW120" s="153">
        <f t="shared" si="231"/>
        <v>0.15712820512820519</v>
      </c>
      <c r="AX120" s="153">
        <f t="shared" si="150"/>
        <v>0.15320000000000003</v>
      </c>
      <c r="AY120" s="153">
        <f t="shared" si="151"/>
        <v>6.3215384615384604E-2</v>
      </c>
      <c r="AZ120" s="153">
        <f t="shared" si="178"/>
        <v>2.4234606960330991</v>
      </c>
      <c r="BA120" s="147">
        <f t="shared" si="232"/>
        <v>3.4876336995076449</v>
      </c>
      <c r="BB120" s="147">
        <f t="shared" si="233"/>
        <v>0.20654660986193302</v>
      </c>
      <c r="BC120" s="5">
        <f t="shared" si="258"/>
        <v>4.9727573758503639E-2</v>
      </c>
      <c r="BD120" s="147">
        <f t="shared" si="235"/>
        <v>3.7680295703493121</v>
      </c>
      <c r="BF120" s="153">
        <f t="shared" si="179"/>
        <v>3.4328727597473505E-2</v>
      </c>
      <c r="BG120" s="153">
        <f t="shared" si="156"/>
        <v>7.9508103118729107E-2</v>
      </c>
      <c r="BI120" s="463">
        <f t="shared" si="236"/>
        <v>4.1246153846153863E-4</v>
      </c>
      <c r="BJ120" s="463">
        <f t="shared" si="237"/>
        <v>6.1540765957446841E-3</v>
      </c>
      <c r="BK120" s="463">
        <f t="shared" si="238"/>
        <v>3.6217494089834526E-3</v>
      </c>
      <c r="BL120" s="463">
        <f t="shared" si="239"/>
        <v>1.1618896612765963E-2</v>
      </c>
      <c r="BM120">
        <f t="shared" si="240"/>
        <v>3.7699999999999999E-3</v>
      </c>
      <c r="BN120">
        <f t="shared" si="241"/>
        <v>5.7947990543735247E-6</v>
      </c>
      <c r="BO120" s="463">
        <f t="shared" si="242"/>
        <v>2.5640612491617025E-2</v>
      </c>
      <c r="BP120" s="147">
        <f t="shared" si="243"/>
        <v>25.577184155955635</v>
      </c>
      <c r="BQ120" s="463">
        <f t="shared" si="244"/>
        <v>8.6496553846153856E-3</v>
      </c>
      <c r="BT120" s="147">
        <f t="shared" si="245"/>
        <v>8.6496553846153859</v>
      </c>
      <c r="BU120" s="463">
        <f t="shared" si="246"/>
        <v>1.178461538461539E-3</v>
      </c>
      <c r="BV120" s="463">
        <f t="shared" si="247"/>
        <v>6.3215384615384609E-3</v>
      </c>
      <c r="BW120" s="463">
        <f t="shared" si="248"/>
        <v>0</v>
      </c>
      <c r="BX120" s="463"/>
      <c r="BY120" s="463">
        <f t="shared" si="249"/>
        <v>3.2595744680851083E-3</v>
      </c>
      <c r="BZ120" s="147">
        <f t="shared" si="250"/>
        <v>10.759574468085107</v>
      </c>
      <c r="CA120" s="153">
        <f t="shared" si="251"/>
        <v>4.4986414008656127E-2</v>
      </c>
      <c r="CB120" s="5">
        <f t="shared" si="252"/>
        <v>0.15000000000000002</v>
      </c>
      <c r="CC120" s="153">
        <f t="shared" si="253"/>
        <v>0.76928436661920951</v>
      </c>
      <c r="CD120" s="5">
        <f t="shared" si="254"/>
        <v>76.928436661920955</v>
      </c>
      <c r="CG120" s="59">
        <f t="shared" si="255"/>
        <v>-50</v>
      </c>
      <c r="CH120">
        <f t="shared" si="256"/>
        <v>-50</v>
      </c>
    </row>
    <row r="121" spans="5:86" x14ac:dyDescent="0.25">
      <c r="E121" s="150">
        <v>11</v>
      </c>
      <c r="F121" s="191">
        <f t="shared" si="257"/>
        <v>1.1000000000000001E-2</v>
      </c>
      <c r="G121" s="191"/>
      <c r="H121" s="191">
        <f t="shared" si="201"/>
        <v>0.16500000000000001</v>
      </c>
      <c r="I121" s="472">
        <f t="shared" si="202"/>
        <v>13</v>
      </c>
      <c r="J121" s="386">
        <f t="shared" si="203"/>
        <v>15.32</v>
      </c>
      <c r="K121" s="386">
        <f t="shared" si="204"/>
        <v>28.32</v>
      </c>
      <c r="L121" s="386"/>
      <c r="M121" s="191">
        <f t="shared" si="205"/>
        <v>0.54096045197740117</v>
      </c>
      <c r="N121" s="152">
        <f t="shared" si="206"/>
        <v>2.3997235845654528</v>
      </c>
      <c r="O121" s="152">
        <f t="shared" si="173"/>
        <v>0.16500000000000001</v>
      </c>
      <c r="P121" s="191">
        <f t="shared" si="207"/>
        <v>0.15998157230436352</v>
      </c>
      <c r="Q121" s="191">
        <f t="shared" si="208"/>
        <v>15</v>
      </c>
      <c r="R121" s="191"/>
      <c r="S121" s="152">
        <f t="shared" si="209"/>
        <v>385.87440814052468</v>
      </c>
      <c r="T121" s="152">
        <f t="shared" si="210"/>
        <v>15</v>
      </c>
      <c r="U121" s="191">
        <f t="shared" si="211"/>
        <v>5.2138983731673021E-2</v>
      </c>
      <c r="V121" s="191">
        <f t="shared" si="212"/>
        <v>0.18850247964527936</v>
      </c>
      <c r="W121" s="191">
        <f t="shared" si="213"/>
        <v>0.1599564122316339</v>
      </c>
      <c r="X121" s="175">
        <f t="shared" si="214"/>
        <v>350</v>
      </c>
      <c r="Y121" s="386">
        <f t="shared" si="215"/>
        <v>350</v>
      </c>
      <c r="AA121" s="191">
        <f t="shared" si="216"/>
        <v>0.42750674016451157</v>
      </c>
      <c r="AB121" s="153">
        <f t="shared" si="217"/>
        <v>1.3115415657788541</v>
      </c>
      <c r="AC121" s="153">
        <f t="shared" si="218"/>
        <v>9.8121250390866027E-2</v>
      </c>
      <c r="AD121" s="153"/>
      <c r="AE121" s="153">
        <f t="shared" si="219"/>
        <v>0.46018276762402083</v>
      </c>
      <c r="AF121" s="317">
        <f t="shared" si="220"/>
        <v>318.71394799054383</v>
      </c>
      <c r="AG121" s="463">
        <f t="shared" si="221"/>
        <v>1.2079797650130546E-2</v>
      </c>
      <c r="AI121" s="153">
        <f t="shared" si="222"/>
        <v>0.14313893180889711</v>
      </c>
      <c r="AJ121" s="153">
        <f t="shared" si="223"/>
        <v>0.15</v>
      </c>
      <c r="AK121" s="153">
        <f t="shared" si="224"/>
        <v>1.1821222559945965</v>
      </c>
      <c r="AM121" s="317">
        <f t="shared" si="225"/>
        <v>11.000000000000002</v>
      </c>
      <c r="AN121" s="147">
        <f t="shared" si="226"/>
        <v>318.71394799054383</v>
      </c>
      <c r="AP121" s="147">
        <f t="shared" si="227"/>
        <v>11.000000000000002</v>
      </c>
      <c r="AQ121" s="147">
        <f t="shared" si="228"/>
        <v>318.71394799054383</v>
      </c>
      <c r="AS121" s="5">
        <f t="shared" si="175"/>
        <v>3.1376097792546869</v>
      </c>
      <c r="AT121" s="5">
        <f t="shared" si="229"/>
        <v>0.54230769230769227</v>
      </c>
      <c r="AU121" s="5">
        <f t="shared" si="230"/>
        <v>2.5953020869469947</v>
      </c>
      <c r="AV121" s="5"/>
      <c r="AW121" s="153">
        <f t="shared" si="231"/>
        <v>0.17284102564102569</v>
      </c>
      <c r="AX121" s="153">
        <f t="shared" si="150"/>
        <v>0.16852000000000003</v>
      </c>
      <c r="AY121" s="153">
        <f t="shared" si="151"/>
        <v>6.2036923076923073E-2</v>
      </c>
      <c r="AZ121" s="153">
        <f t="shared" si="178"/>
        <v>2.7164467810733068</v>
      </c>
      <c r="BA121" s="147">
        <f t="shared" si="232"/>
        <v>3.4876336995076449</v>
      </c>
      <c r="BB121" s="147">
        <f t="shared" si="233"/>
        <v>0.24662139793293897</v>
      </c>
      <c r="BC121" s="5">
        <f t="shared" si="258"/>
        <v>4.8800552062251194E-2</v>
      </c>
      <c r="BD121" s="147">
        <f t="shared" si="235"/>
        <v>3.7023490969765316</v>
      </c>
      <c r="BF121" s="153">
        <f t="shared" si="179"/>
        <v>3.6004273250653071E-2</v>
      </c>
      <c r="BG121" s="153">
        <f t="shared" si="156"/>
        <v>7.8763521427703487E-2</v>
      </c>
      <c r="BI121" s="463">
        <f t="shared" si="236"/>
        <v>4.5370769230769226E-4</v>
      </c>
      <c r="BJ121" s="463">
        <f t="shared" si="237"/>
        <v>6.7694842553191513E-3</v>
      </c>
      <c r="BK121" s="463">
        <f t="shared" si="238"/>
        <v>3.9839243498817978E-3</v>
      </c>
      <c r="BL121" s="463">
        <f t="shared" si="239"/>
        <v>1.2780786274042558E-2</v>
      </c>
      <c r="BM121">
        <f t="shared" si="240"/>
        <v>3.7699999999999999E-3</v>
      </c>
      <c r="BN121">
        <f t="shared" si="241"/>
        <v>6.374278959810877E-6</v>
      </c>
      <c r="BO121" s="463">
        <f t="shared" si="242"/>
        <v>2.7827856832966718E-2</v>
      </c>
      <c r="BP121" s="147">
        <f t="shared" si="243"/>
        <v>27.757902571551199</v>
      </c>
      <c r="BQ121" s="463">
        <f t="shared" si="244"/>
        <v>8.9416209230769213E-3</v>
      </c>
      <c r="BT121" s="147">
        <f t="shared" si="245"/>
        <v>8.9416209230769219</v>
      </c>
      <c r="BU121" s="463">
        <f t="shared" si="246"/>
        <v>1.2963076923076923E-3</v>
      </c>
      <c r="BV121" s="463">
        <f t="shared" si="247"/>
        <v>6.2036923076923059E-3</v>
      </c>
      <c r="BW121" s="463">
        <f t="shared" si="248"/>
        <v>0</v>
      </c>
      <c r="BX121" s="463"/>
      <c r="BY121" s="463">
        <f t="shared" si="249"/>
        <v>3.5855319148936186E-3</v>
      </c>
      <c r="BZ121" s="147">
        <f t="shared" si="250"/>
        <v>11.085531914893616</v>
      </c>
      <c r="CA121" s="153">
        <f t="shared" si="251"/>
        <v>4.7785055409521743E-2</v>
      </c>
      <c r="CB121" s="5">
        <f t="shared" si="252"/>
        <v>0.16500000000000001</v>
      </c>
      <c r="CC121" s="153">
        <f t="shared" si="253"/>
        <v>0.77543039703819605</v>
      </c>
      <c r="CD121" s="5">
        <f t="shared" si="254"/>
        <v>77.543039703819602</v>
      </c>
      <c r="CG121" s="59">
        <f t="shared" si="255"/>
        <v>-50</v>
      </c>
      <c r="CH121">
        <f t="shared" si="256"/>
        <v>-50</v>
      </c>
    </row>
    <row r="122" spans="5:86" x14ac:dyDescent="0.25">
      <c r="E122" s="150">
        <v>12</v>
      </c>
      <c r="F122" s="191">
        <f t="shared" si="257"/>
        <v>1.2E-2</v>
      </c>
      <c r="G122" s="191"/>
      <c r="H122" s="191">
        <f t="shared" si="201"/>
        <v>0.18</v>
      </c>
      <c r="I122" s="472">
        <f t="shared" si="202"/>
        <v>13</v>
      </c>
      <c r="J122" s="386">
        <f t="shared" si="203"/>
        <v>15.32</v>
      </c>
      <c r="K122" s="386">
        <f t="shared" si="204"/>
        <v>28.32</v>
      </c>
      <c r="L122" s="386"/>
      <c r="M122" s="191">
        <f t="shared" si="205"/>
        <v>0.54096045197740117</v>
      </c>
      <c r="N122" s="152">
        <f t="shared" si="206"/>
        <v>2.3997235845654528</v>
      </c>
      <c r="O122" s="152">
        <f t="shared" si="173"/>
        <v>0.18</v>
      </c>
      <c r="P122" s="191">
        <f t="shared" si="207"/>
        <v>0.15998157230436352</v>
      </c>
      <c r="Q122" s="191">
        <f t="shared" si="208"/>
        <v>15</v>
      </c>
      <c r="R122" s="191"/>
      <c r="S122" s="152">
        <f t="shared" si="209"/>
        <v>352.636786145396</v>
      </c>
      <c r="T122" s="152">
        <f t="shared" si="210"/>
        <v>15</v>
      </c>
      <c r="U122" s="191">
        <f t="shared" si="211"/>
        <v>5.6878891343643288E-2</v>
      </c>
      <c r="V122" s="191">
        <f t="shared" si="212"/>
        <v>0.20563906870394111</v>
      </c>
      <c r="W122" s="191">
        <f t="shared" si="213"/>
        <v>0.17449790425269152</v>
      </c>
      <c r="X122" s="175">
        <f t="shared" si="214"/>
        <v>350</v>
      </c>
      <c r="Y122" s="386">
        <f t="shared" si="215"/>
        <v>350</v>
      </c>
      <c r="AA122" s="191">
        <f t="shared" si="216"/>
        <v>0.42750674016451157</v>
      </c>
      <c r="AB122" s="153">
        <f t="shared" si="217"/>
        <v>1.3115415657788541</v>
      </c>
      <c r="AC122" s="153">
        <f t="shared" si="218"/>
        <v>9.8121250390866027E-2</v>
      </c>
      <c r="AD122" s="153"/>
      <c r="AE122" s="153">
        <f t="shared" si="219"/>
        <v>0.46018276762402083</v>
      </c>
      <c r="AF122" s="317">
        <f t="shared" si="220"/>
        <v>347.68794326241147</v>
      </c>
      <c r="AG122" s="463">
        <f t="shared" si="221"/>
        <v>1.2079797650130546E-2</v>
      </c>
      <c r="AI122" s="153">
        <f t="shared" si="222"/>
        <v>0.14950373835177169</v>
      </c>
      <c r="AJ122" s="153">
        <f t="shared" si="223"/>
        <v>0.15</v>
      </c>
      <c r="AK122" s="153">
        <f t="shared" si="224"/>
        <v>1.198678824721378</v>
      </c>
      <c r="AM122" s="317">
        <f t="shared" si="225"/>
        <v>12</v>
      </c>
      <c r="AN122" s="147">
        <f t="shared" si="226"/>
        <v>347.68794326241147</v>
      </c>
      <c r="AP122" s="147">
        <f t="shared" si="227"/>
        <v>12</v>
      </c>
      <c r="AQ122" s="147">
        <f t="shared" si="228"/>
        <v>347.68794326241147</v>
      </c>
      <c r="AS122" s="5">
        <f t="shared" si="175"/>
        <v>2.8761422976501296</v>
      </c>
      <c r="AT122" s="5">
        <f t="shared" si="229"/>
        <v>0.54230769230769227</v>
      </c>
      <c r="AU122" s="5">
        <f t="shared" si="230"/>
        <v>2.3338346053424375</v>
      </c>
      <c r="AV122" s="5"/>
      <c r="AW122" s="153">
        <f t="shared" si="231"/>
        <v>0.18855384615384621</v>
      </c>
      <c r="AX122" s="153">
        <f t="shared" si="150"/>
        <v>0.18384000000000003</v>
      </c>
      <c r="AY122" s="153">
        <f t="shared" si="151"/>
        <v>6.0858461538461535E-2</v>
      </c>
      <c r="AZ122" s="153">
        <f t="shared" si="178"/>
        <v>3.02077961474291</v>
      </c>
      <c r="BA122" s="147">
        <f t="shared" si="232"/>
        <v>3.4876336995076449</v>
      </c>
      <c r="BB122" s="147">
        <f t="shared" si="233"/>
        <v>0.29022711820118352</v>
      </c>
      <c r="BC122" s="5">
        <f t="shared" si="258"/>
        <v>4.7873530365998708E-2</v>
      </c>
      <c r="BD122" s="147">
        <f t="shared" si="235"/>
        <v>3.6366686236037493</v>
      </c>
      <c r="BF122" s="153">
        <f t="shared" si="179"/>
        <v>3.7605236951172731E-2</v>
      </c>
      <c r="BG122" s="153">
        <f t="shared" si="156"/>
        <v>7.8011833421899227E-2</v>
      </c>
      <c r="BI122" s="463">
        <f t="shared" si="236"/>
        <v>4.9495384615384633E-4</v>
      </c>
      <c r="BJ122" s="463">
        <f t="shared" si="237"/>
        <v>7.3848919148936203E-3</v>
      </c>
      <c r="BK122" s="463">
        <f t="shared" si="238"/>
        <v>4.346099290780143E-3</v>
      </c>
      <c r="BL122" s="463">
        <f t="shared" si="239"/>
        <v>1.3942675935319154E-2</v>
      </c>
      <c r="BM122">
        <f t="shared" si="240"/>
        <v>3.7699999999999999E-3</v>
      </c>
      <c r="BN122">
        <f t="shared" si="241"/>
        <v>6.9537588652482293E-6</v>
      </c>
      <c r="BO122" s="463">
        <f t="shared" si="242"/>
        <v>3.0015134466845388E-2</v>
      </c>
      <c r="BP122" s="147">
        <f t="shared" si="243"/>
        <v>29.938620987146763</v>
      </c>
      <c r="BQ122" s="463">
        <f t="shared" si="244"/>
        <v>9.2335864615384622E-3</v>
      </c>
      <c r="BT122" s="147">
        <f t="shared" si="245"/>
        <v>9.2335864615384615</v>
      </c>
      <c r="BU122" s="463">
        <f t="shared" si="246"/>
        <v>1.4141538461538469E-3</v>
      </c>
      <c r="BV122" s="463">
        <f t="shared" si="247"/>
        <v>6.0858461538461535E-3</v>
      </c>
      <c r="BW122" s="463">
        <f t="shared" si="248"/>
        <v>0</v>
      </c>
      <c r="BX122" s="463"/>
      <c r="BY122" s="463">
        <f t="shared" si="249"/>
        <v>3.9114893617021298E-3</v>
      </c>
      <c r="BZ122" s="147">
        <f t="shared" si="250"/>
        <v>11.411489361702131</v>
      </c>
      <c r="CA122" s="153">
        <f t="shared" si="251"/>
        <v>5.0583696810387366E-2</v>
      </c>
      <c r="CB122" s="5">
        <f t="shared" si="252"/>
        <v>0.18</v>
      </c>
      <c r="CC122" s="153">
        <f t="shared" si="253"/>
        <v>0.78062760936657571</v>
      </c>
      <c r="CD122" s="5">
        <f t="shared" si="254"/>
        <v>78.062760936657568</v>
      </c>
      <c r="CG122" s="59">
        <f t="shared" si="255"/>
        <v>-50</v>
      </c>
      <c r="CH122">
        <f t="shared" si="256"/>
        <v>-50</v>
      </c>
    </row>
    <row r="123" spans="5:86" x14ac:dyDescent="0.25">
      <c r="E123" s="150">
        <v>13</v>
      </c>
      <c r="F123" s="191">
        <f t="shared" si="257"/>
        <v>1.3000000000000001E-2</v>
      </c>
      <c r="G123" s="191"/>
      <c r="H123" s="191">
        <f t="shared" si="201"/>
        <v>0.19500000000000001</v>
      </c>
      <c r="I123" s="472">
        <f t="shared" si="202"/>
        <v>13</v>
      </c>
      <c r="J123" s="386">
        <f t="shared" si="203"/>
        <v>15.32</v>
      </c>
      <c r="K123" s="386">
        <f t="shared" si="204"/>
        <v>28.32</v>
      </c>
      <c r="L123" s="386"/>
      <c r="M123" s="191">
        <f t="shared" si="205"/>
        <v>0.54096045197740117</v>
      </c>
      <c r="N123" s="152">
        <f t="shared" si="206"/>
        <v>2.3997235845654528</v>
      </c>
      <c r="O123" s="152">
        <f t="shared" si="173"/>
        <v>0.19500000000000001</v>
      </c>
      <c r="P123" s="191">
        <f t="shared" si="207"/>
        <v>0.15998157230436352</v>
      </c>
      <c r="Q123" s="191">
        <f t="shared" si="208"/>
        <v>15</v>
      </c>
      <c r="R123" s="191"/>
      <c r="S123" s="152">
        <f t="shared" si="209"/>
        <v>324.51280658823742</v>
      </c>
      <c r="T123" s="152">
        <f t="shared" si="210"/>
        <v>15</v>
      </c>
      <c r="U123" s="191">
        <f t="shared" si="211"/>
        <v>6.161879895561357E-2</v>
      </c>
      <c r="V123" s="191">
        <f t="shared" si="212"/>
        <v>0.22277565776260289</v>
      </c>
      <c r="W123" s="191">
        <f t="shared" si="213"/>
        <v>0.18903939627374916</v>
      </c>
      <c r="X123" s="175">
        <f t="shared" si="214"/>
        <v>350</v>
      </c>
      <c r="Y123" s="386">
        <f t="shared" si="215"/>
        <v>350</v>
      </c>
      <c r="AA123" s="191">
        <f t="shared" si="216"/>
        <v>0.42750674016451157</v>
      </c>
      <c r="AB123" s="153">
        <f t="shared" si="217"/>
        <v>1.3115415657788541</v>
      </c>
      <c r="AC123" s="153">
        <f t="shared" si="218"/>
        <v>9.8121250390866027E-2</v>
      </c>
      <c r="AD123" s="153"/>
      <c r="AE123" s="153">
        <f t="shared" si="219"/>
        <v>0.46018276762402083</v>
      </c>
      <c r="AF123" s="317">
        <f t="shared" si="220"/>
        <v>376.66193853427905</v>
      </c>
      <c r="AG123" s="463">
        <f t="shared" si="221"/>
        <v>1.2079797650130546E-2</v>
      </c>
      <c r="AI123" s="153">
        <f t="shared" si="222"/>
        <v>0.15560842445998202</v>
      </c>
      <c r="AJ123" s="153">
        <f t="shared" si="223"/>
        <v>0.15560842445998202</v>
      </c>
      <c r="AK123" s="153">
        <f t="shared" si="224"/>
        <v>1.203738949639988</v>
      </c>
      <c r="AM123" s="317">
        <f t="shared" si="225"/>
        <v>13.000000000000002</v>
      </c>
      <c r="AN123" s="147">
        <f t="shared" si="226"/>
        <v>350</v>
      </c>
      <c r="AP123" s="147">
        <f t="shared" si="227"/>
        <v>13.000000000000002</v>
      </c>
      <c r="AQ123" s="147">
        <f t="shared" si="228"/>
        <v>350</v>
      </c>
      <c r="AS123" s="5">
        <f t="shared" si="175"/>
        <v>2.8571428571428572</v>
      </c>
      <c r="AT123" s="5">
        <f t="shared" si="229"/>
        <v>0.56258430381685798</v>
      </c>
      <c r="AU123" s="5">
        <f t="shared" si="230"/>
        <v>2.2945585533259991</v>
      </c>
      <c r="AV123" s="5"/>
      <c r="AW123" s="153">
        <f t="shared" si="231"/>
        <v>0.19690450633590029</v>
      </c>
      <c r="AX123" s="153">
        <f t="shared" si="150"/>
        <v>0.19915999999999995</v>
      </c>
      <c r="AY123" s="153">
        <f t="shared" si="151"/>
        <v>6.2484212229991017E-2</v>
      </c>
      <c r="AZ123" s="153">
        <f t="shared" si="178"/>
        <v>3.1873651422047957</v>
      </c>
      <c r="BA123" s="147">
        <f t="shared" si="232"/>
        <v>3.4876336995076449</v>
      </c>
      <c r="BB123" s="147">
        <f t="shared" si="233"/>
        <v>0.33736377066666678</v>
      </c>
      <c r="BC123" s="5">
        <f t="shared" si="258"/>
        <v>5.099019007391109E-2</v>
      </c>
      <c r="BD123" s="147">
        <f t="shared" si="235"/>
        <v>3.874264255543332</v>
      </c>
      <c r="BF123" s="153">
        <f t="shared" si="179"/>
        <v>3.9865783680803457E-2</v>
      </c>
      <c r="BG123" s="153">
        <f t="shared" si="156"/>
        <v>8.0511157896414345E-2</v>
      </c>
      <c r="BI123" s="463">
        <f t="shared" si="236"/>
        <v>5.5624824796961529E-4</v>
      </c>
      <c r="BJ123" s="463">
        <f t="shared" si="237"/>
        <v>7.7119535162367093E-3</v>
      </c>
      <c r="BK123" s="463">
        <f t="shared" si="238"/>
        <v>4.3749999999999995E-3</v>
      </c>
      <c r="BL123" s="463">
        <f t="shared" si="239"/>
        <v>1.4035392000000001E-2</v>
      </c>
      <c r="BM123">
        <f t="shared" si="240"/>
        <v>3.7699999999999999E-3</v>
      </c>
      <c r="BN123">
        <f t="shared" si="241"/>
        <v>6.9999999999999999E-6</v>
      </c>
      <c r="BO123" s="463">
        <f t="shared" si="242"/>
        <v>3.0533820896599884E-2</v>
      </c>
      <c r="BP123" s="147">
        <f t="shared" si="243"/>
        <v>30.448593764206322</v>
      </c>
      <c r="BQ123" s="463">
        <f t="shared" si="244"/>
        <v>9.9182835610075216E-3</v>
      </c>
      <c r="BT123" s="147">
        <f t="shared" si="245"/>
        <v>9.918283561007522</v>
      </c>
      <c r="BU123" s="463">
        <f t="shared" si="246"/>
        <v>1.5892807084846151E-3</v>
      </c>
      <c r="BV123" s="463">
        <f t="shared" si="247"/>
        <v>6.4820465458213621E-3</v>
      </c>
      <c r="BW123" s="463">
        <f t="shared" si="248"/>
        <v>0</v>
      </c>
      <c r="BX123" s="463"/>
      <c r="BY123" s="463">
        <f t="shared" si="249"/>
        <v>4.2374468085106375E-3</v>
      </c>
      <c r="BZ123" s="147">
        <f t="shared" si="250"/>
        <v>12.308774062816614</v>
      </c>
      <c r="CA123" s="153">
        <f t="shared" si="251"/>
        <v>5.2675651388030459E-2</v>
      </c>
      <c r="CB123" s="5">
        <f t="shared" si="252"/>
        <v>0.19500000000000001</v>
      </c>
      <c r="CC123" s="153">
        <f t="shared" si="253"/>
        <v>0.78732002482753483</v>
      </c>
      <c r="CD123" s="5">
        <f t="shared" si="254"/>
        <v>78.732002482753487</v>
      </c>
      <c r="CG123" s="59">
        <f t="shared" si="255"/>
        <v>-50</v>
      </c>
      <c r="CH123">
        <f t="shared" si="256"/>
        <v>-50</v>
      </c>
    </row>
    <row r="124" spans="5:86" x14ac:dyDescent="0.25">
      <c r="E124" s="150">
        <v>14</v>
      </c>
      <c r="F124" s="191">
        <f t="shared" si="257"/>
        <v>1.4000000000000002E-2</v>
      </c>
      <c r="G124" s="191"/>
      <c r="H124" s="191">
        <f t="shared" si="201"/>
        <v>0.21000000000000002</v>
      </c>
      <c r="I124" s="472">
        <f t="shared" si="202"/>
        <v>13</v>
      </c>
      <c r="J124" s="386">
        <f t="shared" si="203"/>
        <v>15.32</v>
      </c>
      <c r="K124" s="386">
        <f t="shared" si="204"/>
        <v>28.32</v>
      </c>
      <c r="L124" s="386"/>
      <c r="M124" s="191">
        <f t="shared" si="205"/>
        <v>0.54096045197740117</v>
      </c>
      <c r="N124" s="152">
        <f t="shared" si="206"/>
        <v>2.3997235845654528</v>
      </c>
      <c r="O124" s="152">
        <f t="shared" si="173"/>
        <v>0.21000000000000002</v>
      </c>
      <c r="P124" s="191">
        <f t="shared" si="207"/>
        <v>0.15998157230436352</v>
      </c>
      <c r="Q124" s="191">
        <f t="shared" si="208"/>
        <v>15</v>
      </c>
      <c r="R124" s="191"/>
      <c r="S124" s="152">
        <f t="shared" si="209"/>
        <v>300.40669030144988</v>
      </c>
      <c r="T124" s="152">
        <f t="shared" si="210"/>
        <v>15</v>
      </c>
      <c r="U124" s="191">
        <f t="shared" si="211"/>
        <v>6.6358706567583844E-2</v>
      </c>
      <c r="V124" s="191">
        <f t="shared" si="212"/>
        <v>0.23991224682126464</v>
      </c>
      <c r="W124" s="191">
        <f t="shared" si="213"/>
        <v>0.20358088829480681</v>
      </c>
      <c r="X124" s="175">
        <f t="shared" si="214"/>
        <v>350</v>
      </c>
      <c r="Y124" s="386">
        <f t="shared" si="215"/>
        <v>350</v>
      </c>
      <c r="AA124" s="191">
        <f t="shared" si="216"/>
        <v>0.42750674016451157</v>
      </c>
      <c r="AB124" s="153">
        <f t="shared" si="217"/>
        <v>1.3115415657788541</v>
      </c>
      <c r="AC124" s="153">
        <f t="shared" si="218"/>
        <v>9.8121250390866027E-2</v>
      </c>
      <c r="AD124" s="153"/>
      <c r="AE124" s="153">
        <f t="shared" si="219"/>
        <v>0.46018276762402083</v>
      </c>
      <c r="AF124" s="317">
        <f t="shared" si="220"/>
        <v>405.63593380614674</v>
      </c>
      <c r="AG124" s="463">
        <f t="shared" si="221"/>
        <v>1.2079797650130546E-2</v>
      </c>
      <c r="AI124" s="153">
        <f t="shared" si="222"/>
        <v>0.16148249361674116</v>
      </c>
      <c r="AJ124" s="153">
        <f t="shared" si="223"/>
        <v>0.16148249361674116</v>
      </c>
      <c r="AK124" s="153">
        <f t="shared" si="224"/>
        <v>1.207654995744494</v>
      </c>
      <c r="AM124" s="317">
        <f t="shared" si="225"/>
        <v>14.000000000000002</v>
      </c>
      <c r="AN124" s="147">
        <f t="shared" si="226"/>
        <v>350</v>
      </c>
      <c r="AP124" s="147">
        <f t="shared" si="227"/>
        <v>14.000000000000002</v>
      </c>
      <c r="AQ124" s="147">
        <f t="shared" si="228"/>
        <v>350</v>
      </c>
      <c r="AS124" s="5">
        <f t="shared" si="175"/>
        <v>2.8571428571428572</v>
      </c>
      <c r="AT124" s="5">
        <f t="shared" si="229"/>
        <v>0.58382132307591028</v>
      </c>
      <c r="AU124" s="5">
        <f t="shared" si="230"/>
        <v>2.2733215340669468</v>
      </c>
      <c r="AV124" s="5"/>
      <c r="AW124" s="153">
        <f t="shared" si="231"/>
        <v>0.20433746307656858</v>
      </c>
      <c r="AX124" s="153">
        <f t="shared" si="150"/>
        <v>0.21447999999999998</v>
      </c>
      <c r="AY124" s="153">
        <f t="shared" si="151"/>
        <v>6.4242785269909036E-2</v>
      </c>
      <c r="AZ124" s="153">
        <f t="shared" si="178"/>
        <v>3.3385850115135218</v>
      </c>
      <c r="BA124" s="147">
        <f t="shared" si="232"/>
        <v>3.4876336995076449</v>
      </c>
      <c r="BB124" s="147">
        <f t="shared" si="233"/>
        <v>0.38803135532938871</v>
      </c>
      <c r="BC124" s="5">
        <f t="shared" si="258"/>
        <v>5.4404276028952571E-2</v>
      </c>
      <c r="BD124" s="147">
        <f t="shared" si="235"/>
        <v>4.1341668560175959</v>
      </c>
      <c r="BF124" s="153">
        <f t="shared" si="179"/>
        <v>4.2144297440030676E-2</v>
      </c>
      <c r="BG124" s="153">
        <f t="shared" si="156"/>
        <v>8.3162832893345501E-2</v>
      </c>
      <c r="BI124" s="463">
        <f t="shared" si="236"/>
        <v>6.2164963234982165E-4</v>
      </c>
      <c r="BJ124" s="463">
        <f t="shared" si="237"/>
        <v>8.0030723836456933E-3</v>
      </c>
      <c r="BK124" s="463">
        <f t="shared" si="238"/>
        <v>4.3749999999999995E-3</v>
      </c>
      <c r="BL124" s="463">
        <f t="shared" si="239"/>
        <v>1.4035392000000001E-2</v>
      </c>
      <c r="BM124">
        <f t="shared" si="240"/>
        <v>3.7699999999999999E-3</v>
      </c>
      <c r="BN124">
        <f t="shared" si="241"/>
        <v>6.9999999999999999E-6</v>
      </c>
      <c r="BO124" s="463">
        <f t="shared" si="242"/>
        <v>3.0899580723910643E-2</v>
      </c>
      <c r="BP124" s="147">
        <f t="shared" si="243"/>
        <v>30.805114015995514</v>
      </c>
      <c r="BQ124" s="463">
        <f t="shared" si="244"/>
        <v>1.0631867375982734E-2</v>
      </c>
      <c r="BT124" s="147">
        <f t="shared" si="245"/>
        <v>10.631867375982734</v>
      </c>
      <c r="BU124" s="463">
        <f t="shared" si="246"/>
        <v>1.7761418067137763E-3</v>
      </c>
      <c r="BV124" s="463">
        <f t="shared" si="247"/>
        <v>6.9160567748465084E-3</v>
      </c>
      <c r="BW124" s="463">
        <f t="shared" si="248"/>
        <v>0</v>
      </c>
      <c r="BX124" s="463"/>
      <c r="BY124" s="463">
        <f t="shared" si="249"/>
        <v>4.5634042553191496E-3</v>
      </c>
      <c r="BZ124" s="147">
        <f t="shared" si="250"/>
        <v>13.255602836879433</v>
      </c>
      <c r="CA124" s="153">
        <f t="shared" si="251"/>
        <v>5.4692584228857685E-2</v>
      </c>
      <c r="CB124" s="5">
        <f t="shared" si="252"/>
        <v>0.21000000000000002</v>
      </c>
      <c r="CC124" s="153">
        <f t="shared" si="253"/>
        <v>0.79337319030604359</v>
      </c>
      <c r="CD124" s="5">
        <f t="shared" si="254"/>
        <v>79.337319030604363</v>
      </c>
      <c r="CG124" s="59">
        <f t="shared" si="255"/>
        <v>-50</v>
      </c>
      <c r="CH124">
        <f t="shared" si="256"/>
        <v>-50</v>
      </c>
    </row>
    <row r="125" spans="5:86" x14ac:dyDescent="0.25">
      <c r="E125" s="150">
        <v>15</v>
      </c>
      <c r="F125" s="191">
        <f t="shared" si="257"/>
        <v>1.4999999999999999E-2</v>
      </c>
      <c r="G125" s="191"/>
      <c r="H125" s="191">
        <f t="shared" si="201"/>
        <v>0.22499999999999998</v>
      </c>
      <c r="I125" s="472">
        <f t="shared" si="202"/>
        <v>13</v>
      </c>
      <c r="J125" s="386">
        <f t="shared" si="203"/>
        <v>15.32</v>
      </c>
      <c r="K125" s="386">
        <f t="shared" si="204"/>
        <v>28.32</v>
      </c>
      <c r="L125" s="386"/>
      <c r="M125" s="191">
        <f t="shared" si="205"/>
        <v>0.54096045197740117</v>
      </c>
      <c r="N125" s="152">
        <f t="shared" si="206"/>
        <v>2.3997235845654528</v>
      </c>
      <c r="O125" s="152">
        <f t="shared" si="173"/>
        <v>0.22499999999999998</v>
      </c>
      <c r="P125" s="191">
        <f t="shared" si="207"/>
        <v>0.15998157230436352</v>
      </c>
      <c r="Q125" s="191">
        <f t="shared" si="208"/>
        <v>15</v>
      </c>
      <c r="R125" s="191"/>
      <c r="S125" s="152">
        <f t="shared" si="209"/>
        <v>279.51486591024485</v>
      </c>
      <c r="T125" s="152">
        <f t="shared" si="210"/>
        <v>15</v>
      </c>
      <c r="U125" s="191">
        <f t="shared" si="211"/>
        <v>7.1098614179554112E-2</v>
      </c>
      <c r="V125" s="191">
        <f t="shared" si="212"/>
        <v>0.25704883587992639</v>
      </c>
      <c r="W125" s="191">
        <f t="shared" si="213"/>
        <v>0.21812238031586442</v>
      </c>
      <c r="X125" s="175">
        <f t="shared" si="214"/>
        <v>350</v>
      </c>
      <c r="Y125" s="386">
        <f t="shared" si="215"/>
        <v>350</v>
      </c>
      <c r="AA125" s="191">
        <f t="shared" si="216"/>
        <v>0.42750674016451157</v>
      </c>
      <c r="AB125" s="153">
        <f t="shared" si="217"/>
        <v>1.3115415657788541</v>
      </c>
      <c r="AC125" s="153">
        <f t="shared" si="218"/>
        <v>9.8121250390866027E-2</v>
      </c>
      <c r="AD125" s="153"/>
      <c r="AE125" s="153">
        <f t="shared" si="219"/>
        <v>0.46018276762402083</v>
      </c>
      <c r="AF125" s="317">
        <f t="shared" si="220"/>
        <v>434.60992907801426</v>
      </c>
      <c r="AG125" s="463">
        <f t="shared" si="221"/>
        <v>1.2079797650130546E-2</v>
      </c>
      <c r="AI125" s="153">
        <f t="shared" si="222"/>
        <v>0.16715026092245194</v>
      </c>
      <c r="AJ125" s="153">
        <f t="shared" si="223"/>
        <v>0.16715026092245194</v>
      </c>
      <c r="AK125" s="153">
        <f t="shared" si="224"/>
        <v>1.2114335072816347</v>
      </c>
      <c r="AM125" s="317">
        <f t="shared" si="225"/>
        <v>15</v>
      </c>
      <c r="AN125" s="147">
        <f t="shared" si="226"/>
        <v>350</v>
      </c>
      <c r="AP125" s="147">
        <f t="shared" si="227"/>
        <v>15</v>
      </c>
      <c r="AQ125" s="147">
        <f t="shared" si="228"/>
        <v>350</v>
      </c>
      <c r="AS125" s="5">
        <f t="shared" si="175"/>
        <v>2.8571428571428572</v>
      </c>
      <c r="AT125" s="5">
        <f t="shared" si="229"/>
        <v>0.60431248179655694</v>
      </c>
      <c r="AU125" s="5">
        <f t="shared" si="230"/>
        <v>2.2528303753463002</v>
      </c>
      <c r="AV125" s="5"/>
      <c r="AW125" s="153">
        <f t="shared" si="231"/>
        <v>0.21150936862879494</v>
      </c>
      <c r="AX125" s="153">
        <f t="shared" si="150"/>
        <v>0.22979999999999995</v>
      </c>
      <c r="AY125" s="153">
        <f t="shared" si="151"/>
        <v>6.5898207384302895E-2</v>
      </c>
      <c r="AZ125" s="153">
        <f t="shared" si="178"/>
        <v>3.4871965281219293</v>
      </c>
      <c r="BA125" s="147">
        <f t="shared" si="232"/>
        <v>3.4876336995076449</v>
      </c>
      <c r="BB125" s="147">
        <f t="shared" si="233"/>
        <v>0.44222987218934917</v>
      </c>
      <c r="BC125" s="5">
        <f t="shared" si="258"/>
        <v>5.776488141913589E-2</v>
      </c>
      <c r="BD125" s="147">
        <f t="shared" si="235"/>
        <v>4.3900584141275001</v>
      </c>
      <c r="BF125" s="153">
        <f t="shared" si="179"/>
        <v>4.4382446264364502E-2</v>
      </c>
      <c r="BG125" s="153">
        <f t="shared" si="156"/>
        <v>8.5692872354737798E-2</v>
      </c>
      <c r="BI125" s="463">
        <f t="shared" si="236"/>
        <v>6.8943053774322082E-4</v>
      </c>
      <c r="BJ125" s="463">
        <f t="shared" si="237"/>
        <v>8.2839669313167184E-3</v>
      </c>
      <c r="BK125" s="463">
        <f t="shared" si="238"/>
        <v>4.3749999999999995E-3</v>
      </c>
      <c r="BL125" s="463">
        <f t="shared" si="239"/>
        <v>1.4035392000000001E-2</v>
      </c>
      <c r="BM125">
        <f t="shared" si="240"/>
        <v>3.7699999999999999E-3</v>
      </c>
      <c r="BN125">
        <f t="shared" si="241"/>
        <v>6.9999999999999999E-6</v>
      </c>
      <c r="BO125" s="463">
        <f t="shared" si="242"/>
        <v>3.1257838586667155E-2</v>
      </c>
      <c r="BP125" s="147">
        <f t="shared" si="243"/>
        <v>31.153789469059937</v>
      </c>
      <c r="BQ125" s="463">
        <f t="shared" si="244"/>
        <v>1.1340257036517717E-2</v>
      </c>
      <c r="BT125" s="147">
        <f t="shared" si="245"/>
        <v>11.340257036517716</v>
      </c>
      <c r="BU125" s="463">
        <f t="shared" si="246"/>
        <v>1.9698015364092024E-3</v>
      </c>
      <c r="BV125" s="463">
        <f t="shared" si="247"/>
        <v>7.3432683724053852E-3</v>
      </c>
      <c r="BW125" s="463">
        <f t="shared" si="248"/>
        <v>0</v>
      </c>
      <c r="BX125" s="463"/>
      <c r="BY125" s="463">
        <f t="shared" si="249"/>
        <v>4.8893617021276599E-3</v>
      </c>
      <c r="BZ125" s="147">
        <f t="shared" si="250"/>
        <v>14.202431610942249</v>
      </c>
      <c r="CA125" s="153">
        <f t="shared" si="251"/>
        <v>5.6696478116519899E-2</v>
      </c>
      <c r="CB125" s="5">
        <f t="shared" si="252"/>
        <v>0.22499999999999998</v>
      </c>
      <c r="CC125" s="153">
        <f t="shared" si="253"/>
        <v>0.7987320306749871</v>
      </c>
      <c r="CD125" s="5">
        <f t="shared" si="254"/>
        <v>79.873203067498707</v>
      </c>
      <c r="CG125" s="59">
        <f t="shared" si="255"/>
        <v>-50</v>
      </c>
      <c r="CH125">
        <f t="shared" si="256"/>
        <v>-50</v>
      </c>
    </row>
    <row r="126" spans="5:86" x14ac:dyDescent="0.25">
      <c r="E126" s="150">
        <v>16</v>
      </c>
      <c r="F126" s="191">
        <f t="shared" si="257"/>
        <v>1.6E-2</v>
      </c>
      <c r="G126" s="191"/>
      <c r="H126" s="191">
        <f t="shared" si="201"/>
        <v>0.24</v>
      </c>
      <c r="I126" s="472">
        <f t="shared" si="202"/>
        <v>13</v>
      </c>
      <c r="J126" s="386">
        <f t="shared" si="203"/>
        <v>15.32</v>
      </c>
      <c r="K126" s="386">
        <f t="shared" si="204"/>
        <v>28.32</v>
      </c>
      <c r="L126" s="386"/>
      <c r="M126" s="191">
        <f t="shared" si="205"/>
        <v>0.54096045197740117</v>
      </c>
      <c r="N126" s="152">
        <f t="shared" si="206"/>
        <v>2.3997235845654528</v>
      </c>
      <c r="O126" s="152">
        <f t="shared" si="173"/>
        <v>0.24</v>
      </c>
      <c r="P126" s="191">
        <f t="shared" si="207"/>
        <v>0.15998157230436352</v>
      </c>
      <c r="Q126" s="191">
        <f t="shared" si="208"/>
        <v>15</v>
      </c>
      <c r="R126" s="191"/>
      <c r="S126" s="152">
        <f t="shared" si="209"/>
        <v>261.23465489758871</v>
      </c>
      <c r="T126" s="152">
        <f t="shared" si="210"/>
        <v>15</v>
      </c>
      <c r="U126" s="191">
        <f t="shared" si="211"/>
        <v>7.583852179152438E-2</v>
      </c>
      <c r="V126" s="191">
        <f t="shared" si="212"/>
        <v>0.27418542493858811</v>
      </c>
      <c r="W126" s="191">
        <f t="shared" si="213"/>
        <v>0.23266387233692204</v>
      </c>
      <c r="X126" s="175">
        <f t="shared" si="214"/>
        <v>350</v>
      </c>
      <c r="Y126" s="386">
        <f t="shared" si="215"/>
        <v>350</v>
      </c>
      <c r="AA126" s="191">
        <f t="shared" si="216"/>
        <v>0.42750674016451157</v>
      </c>
      <c r="AB126" s="153">
        <f t="shared" si="217"/>
        <v>1.3115415657788541</v>
      </c>
      <c r="AC126" s="153">
        <f t="shared" si="218"/>
        <v>9.8121250390866027E-2</v>
      </c>
      <c r="AD126" s="153"/>
      <c r="AE126" s="153">
        <f t="shared" si="219"/>
        <v>0.46018276762402083</v>
      </c>
      <c r="AF126" s="317">
        <f t="shared" si="220"/>
        <v>463.58392434988195</v>
      </c>
      <c r="AG126" s="463">
        <f t="shared" si="221"/>
        <v>1.2079797650130546E-2</v>
      </c>
      <c r="AI126" s="153">
        <f t="shared" si="222"/>
        <v>0.17263204716450153</v>
      </c>
      <c r="AJ126" s="153">
        <f t="shared" si="223"/>
        <v>0.17263204716450153</v>
      </c>
      <c r="AK126" s="153">
        <f t="shared" si="224"/>
        <v>1.215088031443001</v>
      </c>
      <c r="AM126" s="317">
        <f t="shared" si="225"/>
        <v>16</v>
      </c>
      <c r="AN126" s="147">
        <f t="shared" si="226"/>
        <v>350</v>
      </c>
      <c r="AP126" s="147">
        <f t="shared" si="227"/>
        <v>16</v>
      </c>
      <c r="AQ126" s="147">
        <f t="shared" si="228"/>
        <v>350</v>
      </c>
      <c r="AS126" s="5">
        <f t="shared" si="175"/>
        <v>2.8571428571428572</v>
      </c>
      <c r="AT126" s="5">
        <f t="shared" si="229"/>
        <v>0.6241312474408901</v>
      </c>
      <c r="AU126" s="5">
        <f t="shared" si="230"/>
        <v>2.233011609701967</v>
      </c>
      <c r="AV126" s="5"/>
      <c r="AW126" s="153">
        <f t="shared" si="231"/>
        <v>0.21844593660431152</v>
      </c>
      <c r="AX126" s="153">
        <f t="shared" si="150"/>
        <v>0.24511999999999992</v>
      </c>
      <c r="AY126" s="153">
        <f t="shared" si="151"/>
        <v>6.746063896686616E-2</v>
      </c>
      <c r="AZ126" s="153">
        <f t="shared" si="178"/>
        <v>3.6335262125280581</v>
      </c>
      <c r="BA126" s="147">
        <f t="shared" si="232"/>
        <v>3.4876336995076449</v>
      </c>
      <c r="BB126" s="147">
        <f t="shared" si="233"/>
        <v>0.49995932124654835</v>
      </c>
      <c r="BC126" s="5">
        <f t="shared" si="258"/>
        <v>6.1073821803814481E-2</v>
      </c>
      <c r="BD126" s="147">
        <f t="shared" si="235"/>
        <v>4.6420750968245477</v>
      </c>
      <c r="BF126" s="153">
        <f t="shared" si="179"/>
        <v>4.65835711113399E-2</v>
      </c>
      <c r="BG126" s="153">
        <f t="shared" si="156"/>
        <v>8.8113064517037612E-2</v>
      </c>
      <c r="BI126" s="463">
        <f t="shared" si="236"/>
        <v>7.5951018411984136E-4</v>
      </c>
      <c r="BJ126" s="463">
        <f t="shared" si="237"/>
        <v>8.5556442574726953E-3</v>
      </c>
      <c r="BK126" s="463">
        <f t="shared" si="238"/>
        <v>4.3749999999999995E-3</v>
      </c>
      <c r="BL126" s="463">
        <f t="shared" si="239"/>
        <v>1.4035392000000001E-2</v>
      </c>
      <c r="BM126">
        <f t="shared" si="240"/>
        <v>3.7699999999999999E-3</v>
      </c>
      <c r="BN126">
        <f t="shared" si="241"/>
        <v>6.9999999999999999E-6</v>
      </c>
      <c r="BO126" s="463">
        <f t="shared" si="242"/>
        <v>3.1609509745321257E-2</v>
      </c>
      <c r="BP126" s="147">
        <f t="shared" si="243"/>
        <v>31.495546441592541</v>
      </c>
      <c r="BQ126" s="463">
        <f t="shared" si="244"/>
        <v>1.2043628873877896E-2</v>
      </c>
      <c r="BT126" s="147">
        <f t="shared" si="245"/>
        <v>12.043628873877896</v>
      </c>
      <c r="BU126" s="463">
        <f t="shared" si="246"/>
        <v>2.1700290974852612E-3</v>
      </c>
      <c r="BV126" s="463">
        <f t="shared" si="247"/>
        <v>7.7639121385836328E-3</v>
      </c>
      <c r="BW126" s="463">
        <f t="shared" si="248"/>
        <v>0</v>
      </c>
      <c r="BX126" s="463"/>
      <c r="BY126" s="463">
        <f t="shared" si="249"/>
        <v>5.2153191489361702E-3</v>
      </c>
      <c r="BZ126" s="147">
        <f t="shared" si="250"/>
        <v>15.149260385005064</v>
      </c>
      <c r="CA126" s="153">
        <f t="shared" si="251"/>
        <v>5.8688435700475501E-2</v>
      </c>
      <c r="CB126" s="5">
        <f t="shared" si="252"/>
        <v>0.24</v>
      </c>
      <c r="CC126" s="153">
        <f t="shared" si="253"/>
        <v>0.80351286261605315</v>
      </c>
      <c r="CD126" s="5">
        <f t="shared" si="254"/>
        <v>80.35128626160531</v>
      </c>
      <c r="CG126" s="59">
        <f t="shared" si="255"/>
        <v>-50</v>
      </c>
      <c r="CH126">
        <f t="shared" si="256"/>
        <v>-50</v>
      </c>
    </row>
    <row r="127" spans="5:86" x14ac:dyDescent="0.25">
      <c r="E127" s="150">
        <v>17</v>
      </c>
      <c r="F127" s="191">
        <f t="shared" si="257"/>
        <v>1.7000000000000001E-2</v>
      </c>
      <c r="G127" s="191"/>
      <c r="H127" s="191">
        <f t="shared" si="201"/>
        <v>0.255</v>
      </c>
      <c r="I127" s="472">
        <f t="shared" si="202"/>
        <v>13</v>
      </c>
      <c r="J127" s="386">
        <f t="shared" si="203"/>
        <v>15.32</v>
      </c>
      <c r="K127" s="386">
        <f t="shared" si="204"/>
        <v>28.32</v>
      </c>
      <c r="L127" s="386"/>
      <c r="M127" s="191">
        <f t="shared" si="205"/>
        <v>0.54096045197740117</v>
      </c>
      <c r="N127" s="152">
        <f t="shared" si="206"/>
        <v>2.3997235845654528</v>
      </c>
      <c r="O127" s="152">
        <f t="shared" si="173"/>
        <v>0.255</v>
      </c>
      <c r="P127" s="191">
        <f t="shared" si="207"/>
        <v>0.15998157230436352</v>
      </c>
      <c r="Q127" s="191">
        <f t="shared" si="208"/>
        <v>15</v>
      </c>
      <c r="R127" s="191"/>
      <c r="S127" s="152">
        <f t="shared" si="209"/>
        <v>245.10518546975686</v>
      </c>
      <c r="T127" s="152">
        <f t="shared" si="210"/>
        <v>15</v>
      </c>
      <c r="U127" s="191">
        <f t="shared" si="211"/>
        <v>8.0578429403494661E-2</v>
      </c>
      <c r="V127" s="191">
        <f t="shared" si="212"/>
        <v>0.29132201399724988</v>
      </c>
      <c r="W127" s="191">
        <f t="shared" si="213"/>
        <v>0.24720536435797971</v>
      </c>
      <c r="X127" s="175">
        <f t="shared" si="214"/>
        <v>350</v>
      </c>
      <c r="Y127" s="386">
        <f t="shared" si="215"/>
        <v>350</v>
      </c>
      <c r="AA127" s="191">
        <f t="shared" si="216"/>
        <v>0.42750674016451157</v>
      </c>
      <c r="AB127" s="153">
        <f t="shared" si="217"/>
        <v>1.3115415657788541</v>
      </c>
      <c r="AC127" s="153">
        <f t="shared" si="218"/>
        <v>9.8121250390866027E-2</v>
      </c>
      <c r="AD127" s="153"/>
      <c r="AE127" s="153">
        <f t="shared" si="219"/>
        <v>0.46018276762402083</v>
      </c>
      <c r="AF127" s="317">
        <f t="shared" si="220"/>
        <v>492.55791962174953</v>
      </c>
      <c r="AG127" s="463">
        <f t="shared" si="221"/>
        <v>1.2079797650130546E-2</v>
      </c>
      <c r="AI127" s="153">
        <f t="shared" si="222"/>
        <v>0.1779450412064624</v>
      </c>
      <c r="AJ127" s="153">
        <f t="shared" si="223"/>
        <v>0.1779450412064624</v>
      </c>
      <c r="AK127" s="153">
        <f t="shared" si="224"/>
        <v>1.2186300274709749</v>
      </c>
      <c r="AM127" s="317">
        <f t="shared" si="225"/>
        <v>17</v>
      </c>
      <c r="AN127" s="147">
        <f t="shared" si="226"/>
        <v>350</v>
      </c>
      <c r="AP127" s="147">
        <f t="shared" si="227"/>
        <v>17</v>
      </c>
      <c r="AQ127" s="147">
        <f t="shared" si="228"/>
        <v>350</v>
      </c>
      <c r="AS127" s="5">
        <f t="shared" si="175"/>
        <v>2.8571428571428572</v>
      </c>
      <c r="AT127" s="5">
        <f t="shared" si="229"/>
        <v>0.64333976436182561</v>
      </c>
      <c r="AU127" s="5">
        <f t="shared" si="230"/>
        <v>2.2138030927810317</v>
      </c>
      <c r="AV127" s="5"/>
      <c r="AW127" s="153">
        <f t="shared" si="231"/>
        <v>0.22516891752663895</v>
      </c>
      <c r="AX127" s="153">
        <f t="shared" si="150"/>
        <v>0.26043999999999995</v>
      </c>
      <c r="AY127" s="153">
        <f t="shared" si="151"/>
        <v>6.8938674449385048E-2</v>
      </c>
      <c r="AZ127" s="153">
        <f t="shared" si="178"/>
        <v>3.7778504167673788</v>
      </c>
      <c r="BA127" s="147">
        <f t="shared" si="232"/>
        <v>3.4876336995076449</v>
      </c>
      <c r="BB127" s="147">
        <f t="shared" si="233"/>
        <v>0.56121970250098641</v>
      </c>
      <c r="BC127" s="5">
        <f t="shared" si="258"/>
        <v>6.4332739448337672E-2</v>
      </c>
      <c r="BD127" s="147">
        <f t="shared" si="235"/>
        <v>4.8903400740099414</v>
      </c>
      <c r="BF127" s="153">
        <f t="shared" si="179"/>
        <v>4.8750545838790918E-2</v>
      </c>
      <c r="BG127" s="153">
        <f t="shared" si="156"/>
        <v>9.0433383458450478E-2</v>
      </c>
      <c r="BI127" s="463">
        <f t="shared" si="236"/>
        <v>8.3181550185301896E-4</v>
      </c>
      <c r="BJ127" s="463">
        <f t="shared" si="237"/>
        <v>8.8189562421922777E-3</v>
      </c>
      <c r="BK127" s="463">
        <f t="shared" si="238"/>
        <v>4.3749999999999995E-3</v>
      </c>
      <c r="BL127" s="463">
        <f t="shared" si="239"/>
        <v>1.4035392000000001E-2</v>
      </c>
      <c r="BM127">
        <f t="shared" si="240"/>
        <v>3.7699999999999999E-3</v>
      </c>
      <c r="BN127">
        <f t="shared" si="241"/>
        <v>6.9999999999999999E-6</v>
      </c>
      <c r="BO127" s="463">
        <f t="shared" si="242"/>
        <v>3.1955363025083637E-2</v>
      </c>
      <c r="BP127" s="147">
        <f t="shared" si="243"/>
        <v>31.831163744045302</v>
      </c>
      <c r="BQ127" s="463">
        <f t="shared" si="244"/>
        <v>1.2742142388619763E-2</v>
      </c>
      <c r="BT127" s="147">
        <f t="shared" si="245"/>
        <v>12.742142388619763</v>
      </c>
      <c r="BU127" s="463">
        <f t="shared" si="246"/>
        <v>2.3766157195800543E-3</v>
      </c>
      <c r="BV127" s="463">
        <f t="shared" si="247"/>
        <v>8.1781968437431452E-3</v>
      </c>
      <c r="BW127" s="463">
        <f t="shared" si="248"/>
        <v>0</v>
      </c>
      <c r="BX127" s="463"/>
      <c r="BY127" s="463">
        <f t="shared" si="249"/>
        <v>5.5412765957446805E-3</v>
      </c>
      <c r="BZ127" s="147">
        <f t="shared" si="250"/>
        <v>16.096089159067876</v>
      </c>
      <c r="CA127" s="153">
        <f t="shared" si="251"/>
        <v>6.0669395291732944E-2</v>
      </c>
      <c r="CB127" s="5">
        <f t="shared" si="252"/>
        <v>0.255</v>
      </c>
      <c r="CC127" s="153">
        <f t="shared" si="253"/>
        <v>0.80780716725590729</v>
      </c>
      <c r="CD127" s="5">
        <f t="shared" si="254"/>
        <v>80.780716725590736</v>
      </c>
      <c r="CG127" s="59">
        <f t="shared" si="255"/>
        <v>-50</v>
      </c>
      <c r="CH127">
        <f t="shared" si="256"/>
        <v>-50</v>
      </c>
    </row>
    <row r="128" spans="5:86" x14ac:dyDescent="0.25">
      <c r="E128" s="150">
        <v>18</v>
      </c>
      <c r="F128" s="191">
        <f t="shared" si="257"/>
        <v>1.7999999999999999E-2</v>
      </c>
      <c r="G128" s="191"/>
      <c r="H128" s="191">
        <f t="shared" si="201"/>
        <v>0.26999999999999996</v>
      </c>
      <c r="I128" s="472">
        <f t="shared" si="202"/>
        <v>13</v>
      </c>
      <c r="J128" s="386">
        <f t="shared" si="203"/>
        <v>15.32</v>
      </c>
      <c r="K128" s="386">
        <f t="shared" si="204"/>
        <v>28.32</v>
      </c>
      <c r="L128" s="386"/>
      <c r="M128" s="191">
        <f t="shared" si="205"/>
        <v>0.54096045197740117</v>
      </c>
      <c r="N128" s="152">
        <f t="shared" si="206"/>
        <v>2.3997235845654528</v>
      </c>
      <c r="O128" s="152">
        <f t="shared" si="173"/>
        <v>0.26999999999999996</v>
      </c>
      <c r="P128" s="191">
        <f t="shared" si="207"/>
        <v>0.15998157230436352</v>
      </c>
      <c r="Q128" s="191">
        <f t="shared" si="208"/>
        <v>15</v>
      </c>
      <c r="R128" s="191"/>
      <c r="S128" s="152">
        <f t="shared" si="209"/>
        <v>230.76800180003983</v>
      </c>
      <c r="T128" s="152">
        <f t="shared" si="210"/>
        <v>15</v>
      </c>
      <c r="U128" s="191">
        <f t="shared" si="211"/>
        <v>8.5318337015464929E-2</v>
      </c>
      <c r="V128" s="191">
        <f t="shared" si="212"/>
        <v>0.30845860305591166</v>
      </c>
      <c r="W128" s="191">
        <f t="shared" si="213"/>
        <v>0.26174685637903727</v>
      </c>
      <c r="X128" s="175">
        <f t="shared" si="214"/>
        <v>350</v>
      </c>
      <c r="Y128" s="386">
        <f t="shared" si="215"/>
        <v>350</v>
      </c>
      <c r="AA128" s="191">
        <f t="shared" si="216"/>
        <v>0.42750674016451157</v>
      </c>
      <c r="AB128" s="153">
        <f t="shared" si="217"/>
        <v>1.3115415657788541</v>
      </c>
      <c r="AC128" s="153">
        <f t="shared" si="218"/>
        <v>9.8121250390866027E-2</v>
      </c>
      <c r="AD128" s="153"/>
      <c r="AE128" s="153">
        <f t="shared" si="219"/>
        <v>0.46018276762402083</v>
      </c>
      <c r="AF128" s="317">
        <f t="shared" si="220"/>
        <v>521.53191489361711</v>
      </c>
      <c r="AG128" s="463">
        <f t="shared" si="221"/>
        <v>1.2079797650130546E-2</v>
      </c>
      <c r="AI128" s="153">
        <f t="shared" si="222"/>
        <v>0.1831039368002024</v>
      </c>
      <c r="AJ128" s="153">
        <f t="shared" si="223"/>
        <v>0.1831039368002024</v>
      </c>
      <c r="AK128" s="153">
        <f t="shared" si="224"/>
        <v>1.222069291200135</v>
      </c>
      <c r="AM128" s="317">
        <f t="shared" si="225"/>
        <v>18</v>
      </c>
      <c r="AN128" s="147">
        <f t="shared" si="226"/>
        <v>350</v>
      </c>
      <c r="AP128" s="147">
        <f t="shared" si="227"/>
        <v>18</v>
      </c>
      <c r="AQ128" s="147">
        <f t="shared" si="228"/>
        <v>350</v>
      </c>
      <c r="AS128" s="5">
        <f t="shared" si="175"/>
        <v>2.8571428571428572</v>
      </c>
      <c r="AT128" s="5">
        <f t="shared" si="229"/>
        <v>0.66199115612380866</v>
      </c>
      <c r="AU128" s="5">
        <f t="shared" si="230"/>
        <v>2.1951517010190487</v>
      </c>
      <c r="AV128" s="5"/>
      <c r="AW128" s="153">
        <f t="shared" si="231"/>
        <v>0.23169690464333303</v>
      </c>
      <c r="AX128" s="153">
        <f t="shared" si="150"/>
        <v>0.27575999999999989</v>
      </c>
      <c r="AY128" s="153">
        <f t="shared" si="151"/>
        <v>7.0339660707793517E-2</v>
      </c>
      <c r="AZ128" s="153">
        <f t="shared" si="178"/>
        <v>3.9204056036830748</v>
      </c>
      <c r="BA128" s="147">
        <f t="shared" si="232"/>
        <v>3.4876336995076449</v>
      </c>
      <c r="BB128" s="147">
        <f t="shared" si="233"/>
        <v>0.62601101595266262</v>
      </c>
      <c r="BC128" s="5">
        <f t="shared" si="258"/>
        <v>6.7543129262124565E-2</v>
      </c>
      <c r="BD128" s="147">
        <f t="shared" si="235"/>
        <v>5.1349654638901114</v>
      </c>
      <c r="BF128" s="153">
        <f t="shared" si="179"/>
        <v>5.0885866060421621E-2</v>
      </c>
      <c r="BG128" s="153">
        <f t="shared" si="156"/>
        <v>9.2662357653247387E-2</v>
      </c>
      <c r="BI128" s="463">
        <f t="shared" si="236"/>
        <v>9.0627997765170912E-4</v>
      </c>
      <c r="BJ128" s="463">
        <f t="shared" si="237"/>
        <v>9.0746311078180319E-3</v>
      </c>
      <c r="BK128" s="463">
        <f t="shared" si="238"/>
        <v>4.3749999999999995E-3</v>
      </c>
      <c r="BL128" s="463">
        <f t="shared" si="239"/>
        <v>1.4035392000000001E-2</v>
      </c>
      <c r="BM128">
        <f t="shared" si="240"/>
        <v>3.7699999999999999E-3</v>
      </c>
      <c r="BN128">
        <f t="shared" si="241"/>
        <v>6.9999999999999999E-6</v>
      </c>
      <c r="BO128" s="463">
        <f t="shared" si="242"/>
        <v>3.2296051061740876E-2</v>
      </c>
      <c r="BP128" s="147">
        <f t="shared" si="243"/>
        <v>32.161303085469747</v>
      </c>
      <c r="BQ128" s="463">
        <f t="shared" si="244"/>
        <v>1.3435942769755769E-2</v>
      </c>
      <c r="BT128" s="147">
        <f t="shared" si="245"/>
        <v>13.435942769755769</v>
      </c>
      <c r="BU128" s="463">
        <f t="shared" si="246"/>
        <v>2.589371364719169E-3</v>
      </c>
      <c r="BV128" s="463">
        <f t="shared" si="247"/>
        <v>8.5863125258583348E-3</v>
      </c>
      <c r="BW128" s="463">
        <f t="shared" si="248"/>
        <v>0</v>
      </c>
      <c r="BX128" s="463"/>
      <c r="BY128" s="463">
        <f t="shared" si="249"/>
        <v>5.8672340425531908E-3</v>
      </c>
      <c r="BZ128" s="147">
        <f t="shared" si="250"/>
        <v>17.042917933130695</v>
      </c>
      <c r="CA128" s="153">
        <f t="shared" si="251"/>
        <v>6.2640163788356212E-2</v>
      </c>
      <c r="CB128" s="5">
        <f t="shared" si="252"/>
        <v>0.26999999999999996</v>
      </c>
      <c r="CC128" s="153">
        <f t="shared" si="253"/>
        <v>0.81168791202191903</v>
      </c>
      <c r="CD128" s="5">
        <f t="shared" si="254"/>
        <v>81.168791202191898</v>
      </c>
      <c r="CG128" s="59">
        <f t="shared" si="255"/>
        <v>-50</v>
      </c>
      <c r="CH128">
        <f t="shared" si="256"/>
        <v>-50</v>
      </c>
    </row>
    <row r="129" spans="5:86" x14ac:dyDescent="0.25">
      <c r="E129" s="150">
        <v>19</v>
      </c>
      <c r="F129" s="191">
        <f t="shared" si="257"/>
        <v>1.9000000000000003E-2</v>
      </c>
      <c r="G129" s="191"/>
      <c r="H129" s="191">
        <f t="shared" si="201"/>
        <v>0.28500000000000003</v>
      </c>
      <c r="I129" s="472">
        <f t="shared" si="202"/>
        <v>13</v>
      </c>
      <c r="J129" s="386">
        <f t="shared" si="203"/>
        <v>15.32</v>
      </c>
      <c r="K129" s="386">
        <f t="shared" si="204"/>
        <v>28.32</v>
      </c>
      <c r="L129" s="386"/>
      <c r="M129" s="191">
        <f t="shared" si="205"/>
        <v>0.54096045197740117</v>
      </c>
      <c r="N129" s="152">
        <f t="shared" si="206"/>
        <v>2.3997235845654528</v>
      </c>
      <c r="O129" s="152">
        <f t="shared" si="173"/>
        <v>0.28500000000000003</v>
      </c>
      <c r="P129" s="191">
        <f t="shared" si="207"/>
        <v>0.15998157230436352</v>
      </c>
      <c r="Q129" s="191">
        <f t="shared" si="208"/>
        <v>15</v>
      </c>
      <c r="R129" s="191"/>
      <c r="S129" s="152">
        <f t="shared" si="209"/>
        <v>217.94011245865008</v>
      </c>
      <c r="T129" s="152">
        <f t="shared" si="210"/>
        <v>15</v>
      </c>
      <c r="U129" s="191">
        <f t="shared" si="211"/>
        <v>9.0058244627435224E-2</v>
      </c>
      <c r="V129" s="191">
        <f t="shared" si="212"/>
        <v>0.3255951921145735</v>
      </c>
      <c r="W129" s="191">
        <f t="shared" si="213"/>
        <v>0.27628834840009497</v>
      </c>
      <c r="X129" s="175">
        <f t="shared" si="214"/>
        <v>350</v>
      </c>
      <c r="Y129" s="386">
        <f t="shared" si="215"/>
        <v>350</v>
      </c>
      <c r="AA129" s="191">
        <f t="shared" si="216"/>
        <v>0.42750674016451157</v>
      </c>
      <c r="AB129" s="153">
        <f t="shared" si="217"/>
        <v>1.3115415657788541</v>
      </c>
      <c r="AC129" s="153">
        <f t="shared" si="218"/>
        <v>9.8121250390866027E-2</v>
      </c>
      <c r="AD129" s="153"/>
      <c r="AE129" s="153">
        <f t="shared" si="219"/>
        <v>0.46018276762402083</v>
      </c>
      <c r="AF129" s="317">
        <f t="shared" si="220"/>
        <v>550.50591016548492</v>
      </c>
      <c r="AG129" s="463">
        <f t="shared" si="221"/>
        <v>1.2079797650130546E-2</v>
      </c>
      <c r="AI129" s="153">
        <f t="shared" si="222"/>
        <v>0.18812141200165239</v>
      </c>
      <c r="AJ129" s="153">
        <f t="shared" si="223"/>
        <v>0.18812141200165239</v>
      </c>
      <c r="AK129" s="153">
        <f t="shared" si="224"/>
        <v>1.2254142746677683</v>
      </c>
      <c r="AM129" s="317">
        <f t="shared" si="225"/>
        <v>19.000000000000004</v>
      </c>
      <c r="AN129" s="147">
        <f t="shared" si="226"/>
        <v>350</v>
      </c>
      <c r="AP129" s="147">
        <f t="shared" si="227"/>
        <v>19.000000000000004</v>
      </c>
      <c r="AQ129" s="147">
        <f t="shared" si="228"/>
        <v>350</v>
      </c>
      <c r="AS129" s="5">
        <f t="shared" si="175"/>
        <v>2.8571428571428572</v>
      </c>
      <c r="AT129" s="5">
        <f t="shared" si="229"/>
        <v>0.68013125877520475</v>
      </c>
      <c r="AU129" s="5">
        <f t="shared" si="230"/>
        <v>2.1770115983676526</v>
      </c>
      <c r="AV129" s="5"/>
      <c r="AW129" s="153">
        <f t="shared" si="231"/>
        <v>0.23804594057132167</v>
      </c>
      <c r="AX129" s="153">
        <f t="shared" si="150"/>
        <v>0.29108000000000006</v>
      </c>
      <c r="AY129" s="153">
        <f t="shared" si="151"/>
        <v>7.1669936770056966E-2</v>
      </c>
      <c r="AZ129" s="153">
        <f t="shared" si="178"/>
        <v>4.0613960764872701</v>
      </c>
      <c r="BA129" s="147">
        <f t="shared" si="232"/>
        <v>3.4876336995076449</v>
      </c>
      <c r="BB129" s="147">
        <f t="shared" si="233"/>
        <v>0.69433326160157816</v>
      </c>
      <c r="BC129" s="5">
        <f t="shared" si="258"/>
        <v>7.0706359605103256E-2</v>
      </c>
      <c r="BD129" s="147">
        <f t="shared" si="235"/>
        <v>5.3760538934596678</v>
      </c>
      <c r="BF129" s="153">
        <f t="shared" si="179"/>
        <v>5.2991717110604242E-2</v>
      </c>
      <c r="BG129" s="153">
        <f t="shared" si="156"/>
        <v>9.4807347476350737E-2</v>
      </c>
      <c r="BI129" s="463">
        <f t="shared" si="236"/>
        <v>9.8284272881560709E-4</v>
      </c>
      <c r="BJ129" s="463">
        <f t="shared" si="237"/>
        <v>9.3232971788018929E-3</v>
      </c>
      <c r="BK129" s="463">
        <f t="shared" si="238"/>
        <v>4.3749999999999995E-3</v>
      </c>
      <c r="BL129" s="463">
        <f t="shared" si="239"/>
        <v>1.4035392000000001E-2</v>
      </c>
      <c r="BM129">
        <f t="shared" si="240"/>
        <v>3.7699999999999999E-3</v>
      </c>
      <c r="BN129">
        <f t="shared" si="241"/>
        <v>6.9999999999999999E-6</v>
      </c>
      <c r="BO129" s="463">
        <f t="shared" si="242"/>
        <v>3.2632133006990839E-2</v>
      </c>
      <c r="BP129" s="147">
        <f t="shared" si="243"/>
        <v>32.486531907617504</v>
      </c>
      <c r="BQ129" s="463">
        <f t="shared" si="244"/>
        <v>1.4125162915523156E-2</v>
      </c>
      <c r="BT129" s="147">
        <f t="shared" si="245"/>
        <v>14.125162915523156</v>
      </c>
      <c r="BU129" s="463">
        <f t="shared" si="246"/>
        <v>2.8081220823303063E-3</v>
      </c>
      <c r="BV129" s="463">
        <f t="shared" si="247"/>
        <v>8.9884331355015081E-3</v>
      </c>
      <c r="BW129" s="463">
        <f t="shared" si="248"/>
        <v>0</v>
      </c>
      <c r="BX129" s="463"/>
      <c r="BY129" s="463">
        <f t="shared" si="249"/>
        <v>6.1931914893617037E-3</v>
      </c>
      <c r="BZ129" s="147">
        <f t="shared" si="250"/>
        <v>17.989746707193518</v>
      </c>
      <c r="CA129" s="153">
        <f t="shared" si="251"/>
        <v>6.4601441530334175E-2</v>
      </c>
      <c r="CB129" s="5">
        <f t="shared" si="252"/>
        <v>0.28500000000000003</v>
      </c>
      <c r="CC129" s="153">
        <f t="shared" si="253"/>
        <v>0.81521402987484859</v>
      </c>
      <c r="CD129" s="5">
        <f t="shared" si="254"/>
        <v>81.521402987484862</v>
      </c>
      <c r="CG129" s="59">
        <f t="shared" si="255"/>
        <v>-50</v>
      </c>
      <c r="CH129">
        <f t="shared" si="256"/>
        <v>-50</v>
      </c>
    </row>
    <row r="130" spans="5:86" x14ac:dyDescent="0.25">
      <c r="E130" s="150">
        <v>20</v>
      </c>
      <c r="F130" s="191">
        <f t="shared" si="257"/>
        <v>2.0000000000000004E-2</v>
      </c>
      <c r="G130" s="191"/>
      <c r="H130" s="191">
        <f t="shared" si="201"/>
        <v>0.30000000000000004</v>
      </c>
      <c r="I130" s="472">
        <f t="shared" si="202"/>
        <v>13</v>
      </c>
      <c r="J130" s="386">
        <f t="shared" si="203"/>
        <v>15.32</v>
      </c>
      <c r="K130" s="386">
        <f t="shared" si="204"/>
        <v>28.32</v>
      </c>
      <c r="L130" s="386"/>
      <c r="M130" s="191">
        <f t="shared" si="205"/>
        <v>0.54096045197740117</v>
      </c>
      <c r="N130" s="152">
        <f t="shared" si="206"/>
        <v>2.3997235845654528</v>
      </c>
      <c r="O130" s="152">
        <f t="shared" si="173"/>
        <v>0.30000000000000004</v>
      </c>
      <c r="P130" s="191">
        <f t="shared" si="207"/>
        <v>0.15998157230436352</v>
      </c>
      <c r="Q130" s="191">
        <f t="shared" si="208"/>
        <v>15</v>
      </c>
      <c r="R130" s="191"/>
      <c r="S130" s="152">
        <f t="shared" si="209"/>
        <v>206.39512431366015</v>
      </c>
      <c r="T130" s="152">
        <f t="shared" si="210"/>
        <v>15</v>
      </c>
      <c r="U130" s="191">
        <f t="shared" si="211"/>
        <v>9.4798152239405492E-2</v>
      </c>
      <c r="V130" s="191">
        <f t="shared" si="212"/>
        <v>0.34273178117323522</v>
      </c>
      <c r="W130" s="191">
        <f t="shared" si="213"/>
        <v>0.29082984042115256</v>
      </c>
      <c r="X130" s="175">
        <f t="shared" si="214"/>
        <v>350</v>
      </c>
      <c r="Y130" s="386">
        <f t="shared" si="215"/>
        <v>350</v>
      </c>
      <c r="AA130" s="191">
        <f t="shared" si="216"/>
        <v>0.42750674016451157</v>
      </c>
      <c r="AB130" s="153">
        <f t="shared" si="217"/>
        <v>1.3115415657788541</v>
      </c>
      <c r="AC130" s="153">
        <f t="shared" si="218"/>
        <v>9.8121250390866027E-2</v>
      </c>
      <c r="AD130" s="153"/>
      <c r="AE130" s="153">
        <f t="shared" si="219"/>
        <v>0.46018276762402083</v>
      </c>
      <c r="AF130" s="317">
        <f t="shared" si="220"/>
        <v>579.4799054373525</v>
      </c>
      <c r="AG130" s="463">
        <f t="shared" si="221"/>
        <v>1.2079797650130546E-2</v>
      </c>
      <c r="AI130" s="153">
        <f t="shared" si="222"/>
        <v>0.19300849627738767</v>
      </c>
      <c r="AJ130" s="153">
        <f t="shared" si="223"/>
        <v>0.19300849627738767</v>
      </c>
      <c r="AK130" s="153">
        <f t="shared" si="224"/>
        <v>1.2286723308515917</v>
      </c>
      <c r="AM130" s="317">
        <f t="shared" si="225"/>
        <v>20.000000000000004</v>
      </c>
      <c r="AN130" s="147">
        <f t="shared" si="226"/>
        <v>350</v>
      </c>
      <c r="AP130" s="147">
        <f t="shared" si="227"/>
        <v>20.000000000000004</v>
      </c>
      <c r="AQ130" s="147">
        <f t="shared" si="228"/>
        <v>350</v>
      </c>
      <c r="AS130" s="5">
        <f t="shared" si="175"/>
        <v>2.8571428571428572</v>
      </c>
      <c r="AT130" s="5">
        <f t="shared" si="229"/>
        <v>0.69779994807978607</v>
      </c>
      <c r="AU130" s="5">
        <f t="shared" si="230"/>
        <v>2.1593429090630711</v>
      </c>
      <c r="AV130" s="5"/>
      <c r="AW130" s="153">
        <f t="shared" si="231"/>
        <v>0.24422998182792513</v>
      </c>
      <c r="AX130" s="153">
        <f t="shared" si="150"/>
        <v>0.30640000000000006</v>
      </c>
      <c r="AY130" s="153">
        <f t="shared" si="151"/>
        <v>7.2935017369463062E-2</v>
      </c>
      <c r="AZ130" s="153">
        <f t="shared" si="178"/>
        <v>4.2009998907367878</v>
      </c>
      <c r="BA130" s="147">
        <f t="shared" si="232"/>
        <v>3.4876336995076449</v>
      </c>
      <c r="BB130" s="147">
        <f t="shared" si="233"/>
        <v>0.76618643944773213</v>
      </c>
      <c r="BC130" s="5">
        <f t="shared" si="258"/>
        <v>7.3823689198737483E-2</v>
      </c>
      <c r="BD130" s="147">
        <f t="shared" si="235"/>
        <v>5.6136997668283888</v>
      </c>
      <c r="BF130" s="153">
        <f t="shared" si="179"/>
        <v>5.5070026869940593E-2</v>
      </c>
      <c r="BG130" s="153">
        <f t="shared" si="156"/>
        <v>9.6874757731981676E-2</v>
      </c>
      <c r="BI130" s="463">
        <f t="shared" si="236"/>
        <v>1.0614477508095925E-3</v>
      </c>
      <c r="BJ130" s="463">
        <f t="shared" si="237"/>
        <v>9.5655010755073336E-3</v>
      </c>
      <c r="BK130" s="463">
        <f t="shared" si="238"/>
        <v>4.3749999999999995E-3</v>
      </c>
      <c r="BL130" s="463">
        <f t="shared" si="239"/>
        <v>1.4035392000000001E-2</v>
      </c>
      <c r="BM130">
        <f t="shared" si="240"/>
        <v>3.7699999999999999E-3</v>
      </c>
      <c r="BN130">
        <f t="shared" si="241"/>
        <v>6.9999999999999999E-6</v>
      </c>
      <c r="BO130" s="463">
        <f t="shared" si="242"/>
        <v>3.2964091865161672E-2</v>
      </c>
      <c r="BP130" s="147">
        <f t="shared" si="243"/>
        <v>32.807340826316931</v>
      </c>
      <c r="BQ130" s="463">
        <f t="shared" si="244"/>
        <v>1.4809925075821432E-2</v>
      </c>
      <c r="BT130" s="147">
        <f t="shared" si="245"/>
        <v>14.809925075821432</v>
      </c>
      <c r="BU130" s="463">
        <f t="shared" si="246"/>
        <v>3.032707859455979E-3</v>
      </c>
      <c r="BV130" s="463">
        <f t="shared" si="247"/>
        <v>9.3847186856301432E-3</v>
      </c>
      <c r="BW130" s="463">
        <f t="shared" si="248"/>
        <v>0</v>
      </c>
      <c r="BX130" s="463"/>
      <c r="BY130" s="463">
        <f t="shared" si="249"/>
        <v>6.5191489361702167E-3</v>
      </c>
      <c r="BZ130" s="147">
        <f t="shared" si="250"/>
        <v>18.936575481256337</v>
      </c>
      <c r="CA130" s="153">
        <f t="shared" si="251"/>
        <v>6.6553841383394707E-2</v>
      </c>
      <c r="CB130" s="5">
        <f t="shared" si="252"/>
        <v>0.30000000000000004</v>
      </c>
      <c r="CC130" s="153">
        <f t="shared" si="253"/>
        <v>0.81843365456977135</v>
      </c>
      <c r="CD130" s="5">
        <f t="shared" si="254"/>
        <v>81.843365456977139</v>
      </c>
      <c r="CG130" s="59">
        <f t="shared" si="255"/>
        <v>-50</v>
      </c>
      <c r="CH130">
        <f t="shared" si="256"/>
        <v>-50</v>
      </c>
    </row>
    <row r="131" spans="5:86" x14ac:dyDescent="0.25">
      <c r="E131" s="150">
        <v>21</v>
      </c>
      <c r="F131" s="191">
        <f t="shared" si="257"/>
        <v>2.1000000000000001E-2</v>
      </c>
      <c r="G131" s="191"/>
      <c r="H131" s="191">
        <f t="shared" si="201"/>
        <v>0.315</v>
      </c>
      <c r="I131" s="472">
        <f t="shared" si="202"/>
        <v>13</v>
      </c>
      <c r="J131" s="386">
        <f t="shared" si="203"/>
        <v>15.32</v>
      </c>
      <c r="K131" s="386">
        <f t="shared" si="204"/>
        <v>28.32</v>
      </c>
      <c r="L131" s="386"/>
      <c r="M131" s="191">
        <f t="shared" si="205"/>
        <v>0.54096045197740117</v>
      </c>
      <c r="N131" s="152">
        <f t="shared" si="206"/>
        <v>2.3997235845654528</v>
      </c>
      <c r="O131" s="152">
        <f t="shared" si="173"/>
        <v>0.315</v>
      </c>
      <c r="P131" s="191">
        <f t="shared" si="207"/>
        <v>0.15998157230436352</v>
      </c>
      <c r="Q131" s="191">
        <f t="shared" si="208"/>
        <v>15</v>
      </c>
      <c r="R131" s="191"/>
      <c r="S131" s="152">
        <f t="shared" si="209"/>
        <v>195.94976674596018</v>
      </c>
      <c r="T131" s="152">
        <f t="shared" si="210"/>
        <v>15</v>
      </c>
      <c r="U131" s="191">
        <f t="shared" si="211"/>
        <v>9.953805985137576E-2</v>
      </c>
      <c r="V131" s="191">
        <f t="shared" si="212"/>
        <v>0.35986837023189694</v>
      </c>
      <c r="W131" s="191">
        <f t="shared" si="213"/>
        <v>0.30537133244221015</v>
      </c>
      <c r="X131" s="175">
        <f t="shared" si="214"/>
        <v>350</v>
      </c>
      <c r="Y131" s="386">
        <f t="shared" si="215"/>
        <v>350</v>
      </c>
      <c r="AA131" s="191">
        <f t="shared" si="216"/>
        <v>0.42750674016451157</v>
      </c>
      <c r="AB131" s="153">
        <f t="shared" si="217"/>
        <v>1.3115415657788541</v>
      </c>
      <c r="AC131" s="153">
        <f t="shared" si="218"/>
        <v>9.8121250390866027E-2</v>
      </c>
      <c r="AD131" s="153"/>
      <c r="AE131" s="153">
        <f t="shared" si="219"/>
        <v>0.46018276762402083</v>
      </c>
      <c r="AF131" s="317">
        <f t="shared" si="220"/>
        <v>608.45390070922008</v>
      </c>
      <c r="AG131" s="463">
        <f t="shared" si="221"/>
        <v>1.2079797650130546E-2</v>
      </c>
      <c r="AI131" s="153">
        <f t="shared" si="222"/>
        <v>0.19777485587662877</v>
      </c>
      <c r="AJ131" s="153">
        <f t="shared" si="223"/>
        <v>0.19777485587662877</v>
      </c>
      <c r="AK131" s="153">
        <f t="shared" si="224"/>
        <v>1.2318499039177524</v>
      </c>
      <c r="AM131" s="317">
        <f t="shared" si="225"/>
        <v>21</v>
      </c>
      <c r="AN131" s="147">
        <f t="shared" si="226"/>
        <v>350</v>
      </c>
      <c r="AP131" s="147">
        <f t="shared" si="227"/>
        <v>21</v>
      </c>
      <c r="AQ131" s="147">
        <f t="shared" si="228"/>
        <v>350</v>
      </c>
      <c r="AS131" s="5">
        <f t="shared" si="175"/>
        <v>2.8571428571428572</v>
      </c>
      <c r="AT131" s="5">
        <f t="shared" si="229"/>
        <v>0.71503217124627316</v>
      </c>
      <c r="AU131" s="5">
        <f t="shared" si="230"/>
        <v>2.1421106858965842</v>
      </c>
      <c r="AV131" s="5"/>
      <c r="AW131" s="153">
        <f t="shared" si="231"/>
        <v>0.25026125993619558</v>
      </c>
      <c r="AX131" s="153">
        <f t="shared" si="150"/>
        <v>0.32172000000000001</v>
      </c>
      <c r="AY131" s="153">
        <f t="shared" si="151"/>
        <v>7.4139735630622081E-2</v>
      </c>
      <c r="AZ131" s="153">
        <f t="shared" si="178"/>
        <v>4.3393734447998131</v>
      </c>
      <c r="BA131" s="147">
        <f t="shared" si="232"/>
        <v>3.4876336995076449</v>
      </c>
      <c r="BB131" s="147">
        <f t="shared" si="233"/>
        <v>0.84157054949112453</v>
      </c>
      <c r="BC131" s="5">
        <f t="shared" si="258"/>
        <v>7.6896281032185071E-2</v>
      </c>
      <c r="BD131" s="147">
        <f t="shared" si="235"/>
        <v>5.8479903081831113</v>
      </c>
      <c r="BF131" s="153">
        <f t="shared" si="179"/>
        <v>5.7122507411311467E-2</v>
      </c>
      <c r="BG131" s="153">
        <f t="shared" si="156"/>
        <v>9.8870202889369527E-2</v>
      </c>
      <c r="BI131" s="463">
        <f t="shared" si="236"/>
        <v>1.1420432985343666E-3</v>
      </c>
      <c r="BJ131" s="463">
        <f t="shared" si="237"/>
        <v>9.8017218572457217E-3</v>
      </c>
      <c r="BK131" s="463">
        <f t="shared" si="238"/>
        <v>4.3749999999999995E-3</v>
      </c>
      <c r="BL131" s="463">
        <f t="shared" si="239"/>
        <v>1.4035392000000001E-2</v>
      </c>
      <c r="BM131">
        <f t="shared" si="240"/>
        <v>3.7699999999999999E-3</v>
      </c>
      <c r="BN131">
        <f t="shared" si="241"/>
        <v>6.9999999999999999E-6</v>
      </c>
      <c r="BO131" s="463">
        <f t="shared" si="242"/>
        <v>3.3292347931457612E-2</v>
      </c>
      <c r="BP131" s="147">
        <f t="shared" si="243"/>
        <v>33.12415715578009</v>
      </c>
      <c r="BQ131" s="463">
        <f t="shared" si="244"/>
        <v>1.5490342202810215E-2</v>
      </c>
      <c r="BT131" s="147">
        <f t="shared" si="245"/>
        <v>15.490342202810215</v>
      </c>
      <c r="BU131" s="463">
        <f t="shared" si="246"/>
        <v>3.2629808529553335E-3</v>
      </c>
      <c r="BV131" s="463">
        <f t="shared" si="247"/>
        <v>9.7753170193850946E-3</v>
      </c>
      <c r="BW131" s="463">
        <f t="shared" si="248"/>
        <v>0</v>
      </c>
      <c r="BX131" s="463"/>
      <c r="BY131" s="463">
        <f t="shared" si="249"/>
        <v>6.8451063829787261E-3</v>
      </c>
      <c r="BZ131" s="147">
        <f t="shared" si="250"/>
        <v>19.883404255319157</v>
      </c>
      <c r="CA131" s="153">
        <f t="shared" si="251"/>
        <v>6.8497903613909464E-2</v>
      </c>
      <c r="CB131" s="5">
        <f t="shared" si="252"/>
        <v>0.315</v>
      </c>
      <c r="CC131" s="153">
        <f t="shared" si="253"/>
        <v>0.82138649789629503</v>
      </c>
      <c r="CD131" s="5">
        <f t="shared" si="254"/>
        <v>82.138649789629497</v>
      </c>
      <c r="CG131" s="59">
        <f t="shared" si="255"/>
        <v>-50</v>
      </c>
      <c r="CH131">
        <f t="shared" si="256"/>
        <v>-50</v>
      </c>
    </row>
    <row r="132" spans="5:86" x14ac:dyDescent="0.25">
      <c r="E132" s="150">
        <v>22</v>
      </c>
      <c r="F132" s="191">
        <f t="shared" si="257"/>
        <v>2.2000000000000002E-2</v>
      </c>
      <c r="G132" s="191"/>
      <c r="H132" s="191">
        <f t="shared" si="201"/>
        <v>0.33</v>
      </c>
      <c r="I132" s="472">
        <f t="shared" si="202"/>
        <v>13</v>
      </c>
      <c r="J132" s="386">
        <f t="shared" si="203"/>
        <v>15.32</v>
      </c>
      <c r="K132" s="386">
        <f t="shared" si="204"/>
        <v>28.32</v>
      </c>
      <c r="L132" s="386"/>
      <c r="M132" s="191">
        <f t="shared" si="205"/>
        <v>0.54096045197740117</v>
      </c>
      <c r="N132" s="152">
        <f t="shared" si="206"/>
        <v>2.3997235845654528</v>
      </c>
      <c r="O132" s="152">
        <f t="shared" si="173"/>
        <v>0.33</v>
      </c>
      <c r="P132" s="191">
        <f t="shared" si="207"/>
        <v>0.15998157230436352</v>
      </c>
      <c r="Q132" s="191">
        <f t="shared" si="208"/>
        <v>15</v>
      </c>
      <c r="R132" s="191"/>
      <c r="S132" s="152">
        <f t="shared" si="209"/>
        <v>186.45409107832103</v>
      </c>
      <c r="T132" s="152">
        <f t="shared" si="210"/>
        <v>15</v>
      </c>
      <c r="U132" s="191">
        <f t="shared" si="211"/>
        <v>0.10427796746334604</v>
      </c>
      <c r="V132" s="191">
        <f t="shared" si="212"/>
        <v>0.37700495929055872</v>
      </c>
      <c r="W132" s="191">
        <f t="shared" si="213"/>
        <v>0.3199128244632678</v>
      </c>
      <c r="X132" s="175">
        <f t="shared" si="214"/>
        <v>350</v>
      </c>
      <c r="Y132" s="386">
        <f t="shared" si="215"/>
        <v>350</v>
      </c>
      <c r="AA132" s="191">
        <f t="shared" si="216"/>
        <v>0.42750674016451157</v>
      </c>
      <c r="AB132" s="153">
        <f t="shared" si="217"/>
        <v>1.3115415657788541</v>
      </c>
      <c r="AC132" s="153">
        <f t="shared" si="218"/>
        <v>9.8121250390866027E-2</v>
      </c>
      <c r="AD132" s="153"/>
      <c r="AE132" s="153">
        <f t="shared" si="219"/>
        <v>0.46018276762402083</v>
      </c>
      <c r="AF132" s="317">
        <f t="shared" si="220"/>
        <v>637.42789598108766</v>
      </c>
      <c r="AG132" s="463">
        <f t="shared" si="221"/>
        <v>1.2079797650130546E-2</v>
      </c>
      <c r="AI132" s="153">
        <f t="shared" si="222"/>
        <v>0.20242901866773994</v>
      </c>
      <c r="AJ132" s="153">
        <f t="shared" si="223"/>
        <v>0.20242901866773994</v>
      </c>
      <c r="AK132" s="153">
        <f t="shared" si="224"/>
        <v>1.2349526791118266</v>
      </c>
      <c r="AM132" s="317">
        <f t="shared" si="225"/>
        <v>22.000000000000004</v>
      </c>
      <c r="AN132" s="147">
        <f t="shared" si="226"/>
        <v>350</v>
      </c>
      <c r="AP132" s="147">
        <f t="shared" si="227"/>
        <v>22.000000000000004</v>
      </c>
      <c r="AQ132" s="147">
        <f t="shared" si="228"/>
        <v>350</v>
      </c>
      <c r="AS132" s="5">
        <f t="shared" si="175"/>
        <v>2.8571428571428572</v>
      </c>
      <c r="AT132" s="5">
        <f t="shared" si="229"/>
        <v>0.73185875979875203</v>
      </c>
      <c r="AU132" s="5">
        <f t="shared" si="230"/>
        <v>2.1252840973441049</v>
      </c>
      <c r="AV132" s="5"/>
      <c r="AW132" s="153">
        <f t="shared" si="231"/>
        <v>0.2561505659295632</v>
      </c>
      <c r="AX132" s="153">
        <f t="shared" si="150"/>
        <v>0.33704000000000012</v>
      </c>
      <c r="AY132" s="153">
        <f t="shared" si="151"/>
        <v>7.5288355487716119E-2</v>
      </c>
      <c r="AZ132" s="153">
        <f t="shared" si="178"/>
        <v>4.4766550924995405</v>
      </c>
      <c r="BA132" s="147">
        <f t="shared" si="232"/>
        <v>3.4876336995076449</v>
      </c>
      <c r="BB132" s="147">
        <f t="shared" si="233"/>
        <v>0.92048559173175581</v>
      </c>
      <c r="BC132" s="5">
        <f t="shared" si="258"/>
        <v>7.9925213917214216E-2</v>
      </c>
      <c r="BD132" s="147">
        <f t="shared" si="235"/>
        <v>6.0790064284064504</v>
      </c>
      <c r="BF132" s="153">
        <f t="shared" si="179"/>
        <v>5.9150688251311583E-2</v>
      </c>
      <c r="BG132" s="153">
        <f t="shared" si="156"/>
        <v>0.10079863728737053</v>
      </c>
      <c r="BI132" s="463">
        <f t="shared" si="236"/>
        <v>1.2245813722113474E-3</v>
      </c>
      <c r="BJ132" s="463">
        <f t="shared" si="237"/>
        <v>1.0032382165173191E-2</v>
      </c>
      <c r="BK132" s="463">
        <f t="shared" si="238"/>
        <v>4.3749999999999995E-3</v>
      </c>
      <c r="BL132" s="463">
        <f t="shared" si="239"/>
        <v>1.4035392000000001E-2</v>
      </c>
      <c r="BM132">
        <f t="shared" si="240"/>
        <v>3.7699999999999999E-3</v>
      </c>
      <c r="BN132">
        <f t="shared" si="241"/>
        <v>6.9999999999999999E-6</v>
      </c>
      <c r="BO132" s="463">
        <f t="shared" si="242"/>
        <v>3.361726934923065E-2</v>
      </c>
      <c r="BP132" s="147">
        <f t="shared" si="243"/>
        <v>33.437355537384541</v>
      </c>
      <c r="BQ132" s="463">
        <f t="shared" si="244"/>
        <v>1.6166519073149036E-2</v>
      </c>
      <c r="BT132" s="147">
        <f t="shared" si="245"/>
        <v>16.166519073149036</v>
      </c>
      <c r="BU132" s="463">
        <f t="shared" si="246"/>
        <v>3.4988039206038501E-3</v>
      </c>
      <c r="BV132" s="463">
        <f t="shared" si="247"/>
        <v>1.0160365278990884E-2</v>
      </c>
      <c r="BW132" s="463">
        <f t="shared" si="248"/>
        <v>0</v>
      </c>
      <c r="BX132" s="463"/>
      <c r="BY132" s="463">
        <f t="shared" si="249"/>
        <v>7.1710638297872364E-3</v>
      </c>
      <c r="BZ132" s="147">
        <f t="shared" si="250"/>
        <v>20.830233029381969</v>
      </c>
      <c r="CA132" s="153">
        <f t="shared" si="251"/>
        <v>7.0434107639915547E-2</v>
      </c>
      <c r="CB132" s="5">
        <f t="shared" si="252"/>
        <v>0.33</v>
      </c>
      <c r="CC132" s="153">
        <f t="shared" si="253"/>
        <v>0.82410562363171036</v>
      </c>
      <c r="CD132" s="5">
        <f t="shared" si="254"/>
        <v>82.410562363171039</v>
      </c>
      <c r="CG132" s="59">
        <f t="shared" si="255"/>
        <v>-50</v>
      </c>
      <c r="CH132">
        <f t="shared" si="256"/>
        <v>-50</v>
      </c>
    </row>
    <row r="133" spans="5:86" x14ac:dyDescent="0.25">
      <c r="E133" s="150">
        <v>23</v>
      </c>
      <c r="F133" s="191">
        <f t="shared" si="257"/>
        <v>2.3000000000000003E-2</v>
      </c>
      <c r="G133" s="191"/>
      <c r="H133" s="191">
        <f t="shared" si="201"/>
        <v>0.34500000000000003</v>
      </c>
      <c r="I133" s="472">
        <f t="shared" si="202"/>
        <v>13</v>
      </c>
      <c r="J133" s="386">
        <f t="shared" si="203"/>
        <v>15.32</v>
      </c>
      <c r="K133" s="386">
        <f t="shared" si="204"/>
        <v>28.32</v>
      </c>
      <c r="L133" s="386"/>
      <c r="M133" s="191">
        <f t="shared" si="205"/>
        <v>0.54096045197740117</v>
      </c>
      <c r="N133" s="152">
        <f t="shared" si="206"/>
        <v>2.3997235845654528</v>
      </c>
      <c r="O133" s="152">
        <f t="shared" si="173"/>
        <v>0.34500000000000003</v>
      </c>
      <c r="P133" s="191">
        <f t="shared" si="207"/>
        <v>0.15998157230436352</v>
      </c>
      <c r="Q133" s="191">
        <f t="shared" si="208"/>
        <v>15</v>
      </c>
      <c r="R133" s="191"/>
      <c r="S133" s="152">
        <f t="shared" si="209"/>
        <v>177.78422667513922</v>
      </c>
      <c r="T133" s="152">
        <f t="shared" si="210"/>
        <v>15</v>
      </c>
      <c r="U133" s="191">
        <f t="shared" si="211"/>
        <v>0.10901787507531631</v>
      </c>
      <c r="V133" s="191">
        <f t="shared" si="212"/>
        <v>0.39414154834922049</v>
      </c>
      <c r="W133" s="191">
        <f t="shared" si="213"/>
        <v>0.33445431648432544</v>
      </c>
      <c r="X133" s="175">
        <f t="shared" si="214"/>
        <v>350</v>
      </c>
      <c r="Y133" s="386">
        <f t="shared" si="215"/>
        <v>350</v>
      </c>
      <c r="AA133" s="191">
        <f t="shared" si="216"/>
        <v>0.42750674016451157</v>
      </c>
      <c r="AB133" s="153">
        <f t="shared" si="217"/>
        <v>1.3115415657788541</v>
      </c>
      <c r="AC133" s="153">
        <f t="shared" si="218"/>
        <v>9.8121250390866027E-2</v>
      </c>
      <c r="AD133" s="153"/>
      <c r="AE133" s="153">
        <f t="shared" si="219"/>
        <v>0.46018276762402083</v>
      </c>
      <c r="AF133" s="317">
        <f t="shared" si="220"/>
        <v>666.40189125295535</v>
      </c>
      <c r="AG133" s="463">
        <f t="shared" si="221"/>
        <v>1.2079797650130546E-2</v>
      </c>
      <c r="AI133" s="153">
        <f t="shared" si="222"/>
        <v>0.20697855343138116</v>
      </c>
      <c r="AJ133" s="153">
        <f t="shared" si="223"/>
        <v>0.20697855343138116</v>
      </c>
      <c r="AK133" s="153">
        <f t="shared" si="224"/>
        <v>1.2379857022875873</v>
      </c>
      <c r="AM133" s="317">
        <f t="shared" si="225"/>
        <v>23.000000000000004</v>
      </c>
      <c r="AN133" s="147">
        <f t="shared" si="226"/>
        <v>350</v>
      </c>
      <c r="AP133" s="147">
        <f t="shared" si="227"/>
        <v>23.000000000000004</v>
      </c>
      <c r="AQ133" s="147">
        <f t="shared" si="228"/>
        <v>350</v>
      </c>
      <c r="AS133" s="5">
        <f t="shared" si="175"/>
        <v>2.8571428571428572</v>
      </c>
      <c r="AT133" s="5">
        <f t="shared" si="229"/>
        <v>0.74830707779037797</v>
      </c>
      <c r="AU133" s="5">
        <f t="shared" si="230"/>
        <v>2.1088357793524795</v>
      </c>
      <c r="AV133" s="5"/>
      <c r="AW133" s="153">
        <f t="shared" si="231"/>
        <v>0.26190747722663227</v>
      </c>
      <c r="AX133" s="153">
        <f t="shared" ref="AX133:AX196" si="259">0.5*L*AJ133^2*AN133*1000</f>
        <v>0.3523599999999999</v>
      </c>
      <c r="AY133" s="153">
        <f t="shared" ref="AY133:AY196" si="260">AJ133*Nps/2*(1-AW133)</f>
        <v>7.6384661331075202E-2</v>
      </c>
      <c r="AZ133" s="153">
        <f t="shared" si="178"/>
        <v>4.6129680208014614</v>
      </c>
      <c r="BA133" s="147">
        <f t="shared" si="232"/>
        <v>3.4876336995076449</v>
      </c>
      <c r="BB133" s="147">
        <f t="shared" si="233"/>
        <v>1.0029315661696256</v>
      </c>
      <c r="BC133" s="5">
        <f t="shared" si="258"/>
        <v>8.2911492179670143E-2</v>
      </c>
      <c r="BD133" s="147">
        <f t="shared" si="235"/>
        <v>6.3068234519367996</v>
      </c>
      <c r="BF133" s="153">
        <f t="shared" si="179"/>
        <v>6.1155943203266026E-2</v>
      </c>
      <c r="BG133" s="153">
        <f t="shared" ref="BG133:BG196" si="261">AJ133*Nps*SQRT((1-AW133)/3)</f>
        <v>0.10266445898054465</v>
      </c>
      <c r="BI133" s="463">
        <f t="shared" si="236"/>
        <v>1.3090172861783848E-3</v>
      </c>
      <c r="BJ133" s="463">
        <f t="shared" si="237"/>
        <v>1.0257857108059253E-2</v>
      </c>
      <c r="BK133" s="463">
        <f t="shared" si="238"/>
        <v>4.3749999999999995E-3</v>
      </c>
      <c r="BL133" s="463">
        <f t="shared" si="239"/>
        <v>1.4035392000000001E-2</v>
      </c>
      <c r="BM133">
        <f t="shared" si="240"/>
        <v>3.7699999999999999E-3</v>
      </c>
      <c r="BN133">
        <f t="shared" si="241"/>
        <v>6.9999999999999999E-6</v>
      </c>
      <c r="BO133" s="463">
        <f t="shared" si="242"/>
        <v>3.3939180504567193E-2</v>
      </c>
      <c r="BP133" s="147">
        <f t="shared" si="243"/>
        <v>33.747266394237641</v>
      </c>
      <c r="BQ133" s="463">
        <f t="shared" si="244"/>
        <v>1.6838553229254705E-2</v>
      </c>
      <c r="BT133" s="147">
        <f t="shared" si="245"/>
        <v>16.838553229254703</v>
      </c>
      <c r="BU133" s="463">
        <f t="shared" si="246"/>
        <v>3.7400493890810999E-3</v>
      </c>
      <c r="BV133" s="463">
        <f t="shared" si="247"/>
        <v>1.0539991137767935E-2</v>
      </c>
      <c r="BW133" s="463">
        <f t="shared" si="248"/>
        <v>0</v>
      </c>
      <c r="BX133" s="463"/>
      <c r="BY133" s="463">
        <f t="shared" si="249"/>
        <v>7.497021276595745E-3</v>
      </c>
      <c r="BZ133" s="147">
        <f t="shared" si="250"/>
        <v>21.777061803444781</v>
      </c>
      <c r="CA133" s="153">
        <f t="shared" si="251"/>
        <v>7.2362881426937115E-2</v>
      </c>
      <c r="CB133" s="5">
        <f t="shared" si="252"/>
        <v>0.34500000000000003</v>
      </c>
      <c r="CC133" s="153">
        <f t="shared" si="253"/>
        <v>0.82661878991362858</v>
      </c>
      <c r="CD133" s="5">
        <f t="shared" si="254"/>
        <v>82.661878991362855</v>
      </c>
      <c r="CG133" s="59">
        <f t="shared" si="255"/>
        <v>-50</v>
      </c>
      <c r="CH133">
        <f t="shared" si="256"/>
        <v>-50</v>
      </c>
    </row>
    <row r="134" spans="5:86" x14ac:dyDescent="0.25">
      <c r="E134" s="150">
        <v>24</v>
      </c>
      <c r="F134" s="191">
        <f t="shared" si="257"/>
        <v>2.4E-2</v>
      </c>
      <c r="G134" s="191"/>
      <c r="H134" s="191">
        <f t="shared" si="201"/>
        <v>0.36</v>
      </c>
      <c r="I134" s="472">
        <f t="shared" si="202"/>
        <v>13</v>
      </c>
      <c r="J134" s="386">
        <f t="shared" si="203"/>
        <v>15.32</v>
      </c>
      <c r="K134" s="386">
        <f t="shared" si="204"/>
        <v>28.32</v>
      </c>
      <c r="L134" s="386"/>
      <c r="M134" s="191">
        <f t="shared" si="205"/>
        <v>0.54096045197740117</v>
      </c>
      <c r="N134" s="152">
        <f t="shared" si="206"/>
        <v>2.3997235845654528</v>
      </c>
      <c r="O134" s="152">
        <f t="shared" ref="O134:O197" si="262">T134*F134</f>
        <v>0.36</v>
      </c>
      <c r="P134" s="191">
        <f t="shared" si="207"/>
        <v>0.15998157230436352</v>
      </c>
      <c r="Q134" s="191">
        <f t="shared" si="208"/>
        <v>15</v>
      </c>
      <c r="R134" s="191"/>
      <c r="S134" s="152">
        <f t="shared" si="209"/>
        <v>169.83694801724803</v>
      </c>
      <c r="T134" s="152">
        <f t="shared" si="210"/>
        <v>15</v>
      </c>
      <c r="U134" s="191">
        <f t="shared" si="211"/>
        <v>0.11375778268728658</v>
      </c>
      <c r="V134" s="191">
        <f t="shared" si="212"/>
        <v>0.41127813740788222</v>
      </c>
      <c r="W134" s="191">
        <f t="shared" si="213"/>
        <v>0.34899580850538303</v>
      </c>
      <c r="X134" s="175">
        <f t="shared" si="214"/>
        <v>350</v>
      </c>
      <c r="Y134" s="386">
        <f t="shared" si="215"/>
        <v>350</v>
      </c>
      <c r="AA134" s="191">
        <f t="shared" si="216"/>
        <v>0.42750674016451157</v>
      </c>
      <c r="AB134" s="153">
        <f t="shared" si="217"/>
        <v>1.3115415657788541</v>
      </c>
      <c r="AC134" s="153">
        <f t="shared" si="218"/>
        <v>9.8121250390866027E-2</v>
      </c>
      <c r="AD134" s="153"/>
      <c r="AE134" s="153">
        <f t="shared" si="219"/>
        <v>0.46018276762402083</v>
      </c>
      <c r="AF134" s="317">
        <f t="shared" si="220"/>
        <v>695.37588652482293</v>
      </c>
      <c r="AG134" s="463">
        <f t="shared" si="221"/>
        <v>1.2079797650130546E-2</v>
      </c>
      <c r="AI134" s="153">
        <f t="shared" si="222"/>
        <v>0.21143021440255416</v>
      </c>
      <c r="AJ134" s="153">
        <f t="shared" si="223"/>
        <v>0.21143021440255416</v>
      </c>
      <c r="AK134" s="153">
        <f t="shared" si="224"/>
        <v>1.2409534762683694</v>
      </c>
      <c r="AM134" s="317">
        <f t="shared" si="225"/>
        <v>24</v>
      </c>
      <c r="AN134" s="147">
        <f t="shared" si="226"/>
        <v>350</v>
      </c>
      <c r="AP134" s="147">
        <f t="shared" si="227"/>
        <v>24</v>
      </c>
      <c r="AQ134" s="147">
        <f t="shared" si="228"/>
        <v>350</v>
      </c>
      <c r="AS134" s="5">
        <f t="shared" ref="AS134:AS197" si="263">1/AN134*1000</f>
        <v>2.8571428571428572</v>
      </c>
      <c r="AT134" s="5">
        <f t="shared" si="229"/>
        <v>0.76440154437846497</v>
      </c>
      <c r="AU134" s="5">
        <f t="shared" si="230"/>
        <v>2.0927413127643923</v>
      </c>
      <c r="AV134" s="5"/>
      <c r="AW134" s="153">
        <f t="shared" si="231"/>
        <v>0.26754054053246273</v>
      </c>
      <c r="AX134" s="153">
        <f t="shared" si="259"/>
        <v>0.36767999999999984</v>
      </c>
      <c r="AY134" s="153">
        <f t="shared" si="260"/>
        <v>7.743203027820017E-2</v>
      </c>
      <c r="AZ134" s="153">
        <f t="shared" ref="AZ134:AZ197" si="264">AX134/AY134</f>
        <v>4.7484225672372</v>
      </c>
      <c r="BA134" s="147">
        <f t="shared" si="232"/>
        <v>3.4876336995076449</v>
      </c>
      <c r="BB134" s="147">
        <f t="shared" si="233"/>
        <v>1.088908472804734</v>
      </c>
      <c r="BC134" s="5">
        <f t="shared" si="258"/>
        <v>8.5856053857000694E-2</v>
      </c>
      <c r="BD134" s="147">
        <f t="shared" si="235"/>
        <v>6.5315117315827447</v>
      </c>
      <c r="BF134" s="153">
        <f t="shared" ref="BF134:BF197" si="265">AJ134*SQRT(AW134/3)</f>
        <v>6.3139512287262639E-2</v>
      </c>
      <c r="BG134" s="153">
        <f t="shared" si="261"/>
        <v>0.10447159347033025</v>
      </c>
      <c r="BI134" s="463">
        <f t="shared" si="236"/>
        <v>1.3953093041556863E-3</v>
      </c>
      <c r="BJ134" s="463">
        <f t="shared" si="237"/>
        <v>1.0478481425790586E-2</v>
      </c>
      <c r="BK134" s="463">
        <f t="shared" si="238"/>
        <v>4.3749999999999995E-3</v>
      </c>
      <c r="BL134" s="463">
        <f t="shared" si="239"/>
        <v>1.4035392000000001E-2</v>
      </c>
      <c r="BM134">
        <f t="shared" si="240"/>
        <v>3.7699999999999999E-3</v>
      </c>
      <c r="BN134">
        <f t="shared" si="241"/>
        <v>6.9999999999999999E-6</v>
      </c>
      <c r="BO134" s="463">
        <f t="shared" si="242"/>
        <v>3.4258368774325712E-2</v>
      </c>
      <c r="BP134" s="147">
        <f t="shared" si="243"/>
        <v>34.05418272994627</v>
      </c>
      <c r="BQ134" s="463">
        <f t="shared" si="244"/>
        <v>1.7506535775463683E-2</v>
      </c>
      <c r="BT134" s="147">
        <f t="shared" si="245"/>
        <v>17.506535775463682</v>
      </c>
      <c r="BU134" s="463">
        <f t="shared" si="246"/>
        <v>3.9865980118733895E-3</v>
      </c>
      <c r="BV134" s="463">
        <f t="shared" si="247"/>
        <v>1.0914313842229949E-2</v>
      </c>
      <c r="BW134" s="463">
        <f t="shared" si="248"/>
        <v>0</v>
      </c>
      <c r="BX134" s="463"/>
      <c r="BY134" s="463">
        <f t="shared" si="249"/>
        <v>7.8229787234042544E-3</v>
      </c>
      <c r="BZ134" s="147">
        <f t="shared" si="250"/>
        <v>22.723890577507593</v>
      </c>
      <c r="CA134" s="153">
        <f t="shared" si="251"/>
        <v>7.4284609082917563E-2</v>
      </c>
      <c r="CB134" s="5">
        <f t="shared" si="252"/>
        <v>0.36</v>
      </c>
      <c r="CC134" s="153">
        <f t="shared" si="253"/>
        <v>0.82894947799374008</v>
      </c>
      <c r="CD134" s="5">
        <f t="shared" si="254"/>
        <v>82.894947799374009</v>
      </c>
      <c r="CG134" s="59">
        <f t="shared" si="255"/>
        <v>-50</v>
      </c>
      <c r="CH134">
        <f t="shared" si="256"/>
        <v>-50</v>
      </c>
    </row>
    <row r="135" spans="5:86" x14ac:dyDescent="0.25">
      <c r="E135" s="150">
        <v>25</v>
      </c>
      <c r="F135" s="191">
        <f t="shared" si="257"/>
        <v>2.5000000000000001E-2</v>
      </c>
      <c r="G135" s="191"/>
      <c r="H135" s="191">
        <f t="shared" si="201"/>
        <v>0.375</v>
      </c>
      <c r="I135" s="472">
        <f t="shared" si="202"/>
        <v>13</v>
      </c>
      <c r="J135" s="386">
        <f t="shared" si="203"/>
        <v>15.32</v>
      </c>
      <c r="K135" s="386">
        <f t="shared" si="204"/>
        <v>28.32</v>
      </c>
      <c r="L135" s="386"/>
      <c r="M135" s="191">
        <f t="shared" si="205"/>
        <v>0.54096045197740117</v>
      </c>
      <c r="N135" s="152">
        <f t="shared" si="206"/>
        <v>2.3997235845654528</v>
      </c>
      <c r="O135" s="152">
        <f t="shared" si="262"/>
        <v>0.375</v>
      </c>
      <c r="P135" s="191">
        <f t="shared" si="207"/>
        <v>0.15998157230436352</v>
      </c>
      <c r="Q135" s="191">
        <f t="shared" si="208"/>
        <v>15</v>
      </c>
      <c r="R135" s="191"/>
      <c r="S135" s="152">
        <f t="shared" si="209"/>
        <v>162.52554567877593</v>
      </c>
      <c r="T135" s="152">
        <f t="shared" si="210"/>
        <v>15</v>
      </c>
      <c r="U135" s="191">
        <f t="shared" si="211"/>
        <v>0.11849769029925686</v>
      </c>
      <c r="V135" s="191">
        <f t="shared" si="212"/>
        <v>0.42841472646654399</v>
      </c>
      <c r="W135" s="191">
        <f t="shared" si="213"/>
        <v>0.36353730052644068</v>
      </c>
      <c r="X135" s="175">
        <f t="shared" si="214"/>
        <v>350</v>
      </c>
      <c r="Y135" s="386">
        <f t="shared" si="215"/>
        <v>350</v>
      </c>
      <c r="AA135" s="191">
        <f t="shared" si="216"/>
        <v>0.42750674016451157</v>
      </c>
      <c r="AB135" s="153">
        <f t="shared" si="217"/>
        <v>1.3115415657788541</v>
      </c>
      <c r="AC135" s="153">
        <f t="shared" si="218"/>
        <v>9.8121250390866027E-2</v>
      </c>
      <c r="AD135" s="153"/>
      <c r="AE135" s="153">
        <f t="shared" si="219"/>
        <v>0.46018276762402083</v>
      </c>
      <c r="AF135" s="317">
        <f t="shared" si="220"/>
        <v>724.34988179669051</v>
      </c>
      <c r="AG135" s="463">
        <f t="shared" si="221"/>
        <v>1.2079797650130546E-2</v>
      </c>
      <c r="AI135" s="153">
        <f t="shared" si="222"/>
        <v>0.21579005895562692</v>
      </c>
      <c r="AJ135" s="153">
        <f t="shared" si="223"/>
        <v>0.21579005895562692</v>
      </c>
      <c r="AK135" s="153">
        <f t="shared" si="224"/>
        <v>1.2438600393037513</v>
      </c>
      <c r="AM135" s="317">
        <f t="shared" si="225"/>
        <v>25</v>
      </c>
      <c r="AN135" s="147">
        <f t="shared" si="226"/>
        <v>350</v>
      </c>
      <c r="AP135" s="147">
        <f t="shared" si="227"/>
        <v>25</v>
      </c>
      <c r="AQ135" s="147">
        <f t="shared" si="228"/>
        <v>350</v>
      </c>
      <c r="AS135" s="5">
        <f t="shared" si="263"/>
        <v>2.8571428571428572</v>
      </c>
      <c r="AT135" s="5">
        <f t="shared" si="229"/>
        <v>0.78016405930111277</v>
      </c>
      <c r="AU135" s="5">
        <f t="shared" si="230"/>
        <v>2.0769787978417442</v>
      </c>
      <c r="AV135" s="5"/>
      <c r="AW135" s="153">
        <f t="shared" si="231"/>
        <v>0.27305742075538947</v>
      </c>
      <c r="AX135" s="153">
        <f t="shared" si="259"/>
        <v>0.38299999999999995</v>
      </c>
      <c r="AY135" s="153">
        <f t="shared" si="260"/>
        <v>7.8433491016274989E-2</v>
      </c>
      <c r="AZ135" s="153">
        <f t="shared" si="264"/>
        <v>4.8831181047459342</v>
      </c>
      <c r="BA135" s="147">
        <f t="shared" si="232"/>
        <v>3.4876336995076449</v>
      </c>
      <c r="BB135" s="147">
        <f t="shared" si="233"/>
        <v>1.1784163116370814</v>
      </c>
      <c r="BC135" s="5">
        <f t="shared" si="258"/>
        <v>8.8759777685544619E-2</v>
      </c>
      <c r="BD135" s="147">
        <f t="shared" si="235"/>
        <v>6.7531371725696951</v>
      </c>
      <c r="BF135" s="153">
        <f t="shared" si="265"/>
        <v>6.5102519774782167E-2</v>
      </c>
      <c r="BG135" s="153">
        <f t="shared" si="261"/>
        <v>0.1062235618887436</v>
      </c>
      <c r="BI135" s="463">
        <f t="shared" si="236"/>
        <v>1.4834183283590661E-3</v>
      </c>
      <c r="BJ135" s="463">
        <f t="shared" si="237"/>
        <v>1.0694555321840873E-2</v>
      </c>
      <c r="BK135" s="463">
        <f t="shared" si="238"/>
        <v>4.3749999999999995E-3</v>
      </c>
      <c r="BL135" s="463">
        <f t="shared" si="239"/>
        <v>1.4035392000000001E-2</v>
      </c>
      <c r="BM135">
        <f t="shared" si="240"/>
        <v>3.7699999999999999E-3</v>
      </c>
      <c r="BN135">
        <f t="shared" si="241"/>
        <v>6.9999999999999999E-6</v>
      </c>
      <c r="BO135" s="463">
        <f t="shared" si="242"/>
        <v>3.4575090004477511E-2</v>
      </c>
      <c r="BP135" s="147">
        <f t="shared" si="243"/>
        <v>34.358365650199936</v>
      </c>
      <c r="BQ135" s="463">
        <f t="shared" si="244"/>
        <v>1.8170552056653452E-2</v>
      </c>
      <c r="BT135" s="147">
        <f t="shared" si="245"/>
        <v>18.170552056653452</v>
      </c>
      <c r="BU135" s="463">
        <f t="shared" si="246"/>
        <v>4.2383380810259033E-3</v>
      </c>
      <c r="BV135" s="463">
        <f t="shared" si="247"/>
        <v>1.1283445100331742E-2</v>
      </c>
      <c r="BW135" s="463">
        <f t="shared" si="248"/>
        <v>0</v>
      </c>
      <c r="BX135" s="463"/>
      <c r="BY135" s="463">
        <f t="shared" si="249"/>
        <v>8.1489361702127665E-3</v>
      </c>
      <c r="BZ135" s="147">
        <f t="shared" si="250"/>
        <v>23.670719351570412</v>
      </c>
      <c r="CA135" s="153">
        <f t="shared" si="251"/>
        <v>7.6199637058423808E-2</v>
      </c>
      <c r="CB135" s="5">
        <f t="shared" si="252"/>
        <v>0.375</v>
      </c>
      <c r="CC135" s="153">
        <f t="shared" si="253"/>
        <v>0.831117689820843</v>
      </c>
      <c r="CD135" s="5">
        <f t="shared" si="254"/>
        <v>83.1117689820843</v>
      </c>
      <c r="CG135" s="59">
        <f t="shared" si="255"/>
        <v>-50</v>
      </c>
      <c r="CH135">
        <f t="shared" si="256"/>
        <v>-50</v>
      </c>
    </row>
    <row r="136" spans="5:86" x14ac:dyDescent="0.25">
      <c r="E136" s="150">
        <v>26</v>
      </c>
      <c r="F136" s="191">
        <f t="shared" si="257"/>
        <v>2.6000000000000002E-2</v>
      </c>
      <c r="G136" s="191"/>
      <c r="H136" s="191">
        <f t="shared" si="201"/>
        <v>0.39</v>
      </c>
      <c r="I136" s="472">
        <f t="shared" si="202"/>
        <v>13</v>
      </c>
      <c r="J136" s="386">
        <f t="shared" si="203"/>
        <v>15.32</v>
      </c>
      <c r="K136" s="386">
        <f t="shared" si="204"/>
        <v>28.32</v>
      </c>
      <c r="L136" s="386"/>
      <c r="M136" s="191">
        <f t="shared" si="205"/>
        <v>0.54096045197740117</v>
      </c>
      <c r="N136" s="152">
        <f t="shared" si="206"/>
        <v>2.3997235845654528</v>
      </c>
      <c r="O136" s="152">
        <f t="shared" si="262"/>
        <v>0.39</v>
      </c>
      <c r="P136" s="191">
        <f t="shared" si="207"/>
        <v>0.15998157230436352</v>
      </c>
      <c r="Q136" s="191">
        <f t="shared" si="208"/>
        <v>15</v>
      </c>
      <c r="R136" s="191"/>
      <c r="S136" s="152">
        <f t="shared" si="209"/>
        <v>155.7766501555021</v>
      </c>
      <c r="T136" s="152">
        <f t="shared" si="210"/>
        <v>15</v>
      </c>
      <c r="U136" s="191">
        <f t="shared" si="211"/>
        <v>0.12323759791122714</v>
      </c>
      <c r="V136" s="191">
        <f t="shared" si="212"/>
        <v>0.44555131552520577</v>
      </c>
      <c r="W136" s="191">
        <f t="shared" si="213"/>
        <v>0.37807879254749832</v>
      </c>
      <c r="X136" s="175">
        <f t="shared" si="214"/>
        <v>350</v>
      </c>
      <c r="Y136" s="386">
        <f t="shared" si="215"/>
        <v>350</v>
      </c>
      <c r="AA136" s="191">
        <f t="shared" si="216"/>
        <v>0.42750674016451157</v>
      </c>
      <c r="AB136" s="153">
        <f t="shared" si="217"/>
        <v>1.3115415657788541</v>
      </c>
      <c r="AC136" s="153">
        <f t="shared" si="218"/>
        <v>9.8121250390866027E-2</v>
      </c>
      <c r="AD136" s="153"/>
      <c r="AE136" s="153">
        <f t="shared" si="219"/>
        <v>0.46018276762402083</v>
      </c>
      <c r="AF136" s="317">
        <f t="shared" si="220"/>
        <v>753.32387706855809</v>
      </c>
      <c r="AG136" s="463">
        <f t="shared" si="221"/>
        <v>1.2079797650130546E-2</v>
      </c>
      <c r="AI136" s="153">
        <f t="shared" si="222"/>
        <v>0.22006354429081584</v>
      </c>
      <c r="AJ136" s="153">
        <f t="shared" si="223"/>
        <v>0.22006354429081584</v>
      </c>
      <c r="AK136" s="153">
        <f t="shared" si="224"/>
        <v>1.2467090295272105</v>
      </c>
      <c r="AM136" s="317">
        <f t="shared" si="225"/>
        <v>26.000000000000004</v>
      </c>
      <c r="AN136" s="147">
        <f t="shared" si="226"/>
        <v>350</v>
      </c>
      <c r="AP136" s="147">
        <f t="shared" si="227"/>
        <v>26.000000000000004</v>
      </c>
      <c r="AQ136" s="147">
        <f t="shared" si="228"/>
        <v>350</v>
      </c>
      <c r="AS136" s="5">
        <f t="shared" si="263"/>
        <v>2.8571428571428572</v>
      </c>
      <c r="AT136" s="5">
        <f t="shared" si="229"/>
        <v>0.79561435243602641</v>
      </c>
      <c r="AU136" s="5">
        <f t="shared" si="230"/>
        <v>2.061528504706831</v>
      </c>
      <c r="AV136" s="5"/>
      <c r="AW136" s="153">
        <f t="shared" si="231"/>
        <v>0.27846502335260925</v>
      </c>
      <c r="AX136" s="153">
        <f t="shared" si="259"/>
        <v>0.39831999999999995</v>
      </c>
      <c r="AY136" s="153">
        <f t="shared" si="260"/>
        <v>7.9391772145407921E-2</v>
      </c>
      <c r="AZ136" s="153">
        <f t="shared" si="264"/>
        <v>5.0171445886164046</v>
      </c>
      <c r="BA136" s="147">
        <f t="shared" si="232"/>
        <v>3.4876336995076449</v>
      </c>
      <c r="BB136" s="147">
        <f t="shared" si="233"/>
        <v>1.2714550826666673</v>
      </c>
      <c r="BC136" s="5">
        <f t="shared" si="258"/>
        <v>9.1623489098081379E-2</v>
      </c>
      <c r="BD136" s="147">
        <f t="shared" si="235"/>
        <v>6.9717616823561039</v>
      </c>
      <c r="BF136" s="153">
        <f t="shared" si="265"/>
        <v>6.7045989176935342E-2</v>
      </c>
      <c r="BG136" s="153">
        <f t="shared" si="261"/>
        <v>0.10792353702459082</v>
      </c>
      <c r="BI136" s="463">
        <f t="shared" si="236"/>
        <v>1.5733076326498059E-3</v>
      </c>
      <c r="BJ136" s="463">
        <f t="shared" si="237"/>
        <v>1.0906349255052834E-2</v>
      </c>
      <c r="BK136" s="463">
        <f t="shared" si="238"/>
        <v>4.3749999999999995E-3</v>
      </c>
      <c r="BL136" s="463">
        <f t="shared" si="239"/>
        <v>1.4035392000000001E-2</v>
      </c>
      <c r="BM136">
        <f t="shared" si="240"/>
        <v>3.7699999999999999E-3</v>
      </c>
      <c r="BN136">
        <f t="shared" si="241"/>
        <v>6.9999999999999999E-6</v>
      </c>
      <c r="BO136" s="463">
        <f t="shared" si="242"/>
        <v>3.4889572997921663E-2</v>
      </c>
      <c r="BP136" s="147">
        <f t="shared" si="243"/>
        <v>34.660048887702636</v>
      </c>
      <c r="BQ136" s="463">
        <f t="shared" si="244"/>
        <v>1.8830682240738247E-2</v>
      </c>
      <c r="BT136" s="147">
        <f t="shared" si="245"/>
        <v>18.830682240738248</v>
      </c>
      <c r="BU136" s="463">
        <f t="shared" si="246"/>
        <v>4.4951646647137314E-3</v>
      </c>
      <c r="BV136" s="463">
        <f t="shared" si="247"/>
        <v>1.1647489843898224E-2</v>
      </c>
      <c r="BW136" s="463">
        <f t="shared" si="248"/>
        <v>0</v>
      </c>
      <c r="BX136" s="463"/>
      <c r="BY136" s="463">
        <f t="shared" si="249"/>
        <v>8.4748936170212785E-3</v>
      </c>
      <c r="BZ136" s="147">
        <f t="shared" si="250"/>
        <v>24.617548125633235</v>
      </c>
      <c r="CA136" s="153">
        <f t="shared" si="251"/>
        <v>7.8108279254074112E-2</v>
      </c>
      <c r="CB136" s="5">
        <f t="shared" si="252"/>
        <v>0.39</v>
      </c>
      <c r="CC136" s="153">
        <f t="shared" si="253"/>
        <v>0.8331405729919179</v>
      </c>
      <c r="CD136" s="5">
        <f t="shared" si="254"/>
        <v>83.314057299191788</v>
      </c>
      <c r="CG136" s="59">
        <f t="shared" si="255"/>
        <v>-50</v>
      </c>
      <c r="CH136">
        <f t="shared" si="256"/>
        <v>-50</v>
      </c>
    </row>
    <row r="137" spans="5:86" x14ac:dyDescent="0.25">
      <c r="E137" s="150">
        <v>27</v>
      </c>
      <c r="F137" s="191">
        <f t="shared" si="257"/>
        <v>2.7000000000000003E-2</v>
      </c>
      <c r="G137" s="191"/>
      <c r="H137" s="191">
        <f t="shared" si="201"/>
        <v>0.40500000000000003</v>
      </c>
      <c r="I137" s="472">
        <f t="shared" si="202"/>
        <v>13</v>
      </c>
      <c r="J137" s="386">
        <f t="shared" si="203"/>
        <v>15.32</v>
      </c>
      <c r="K137" s="386">
        <f t="shared" si="204"/>
        <v>28.32</v>
      </c>
      <c r="L137" s="386"/>
      <c r="M137" s="191">
        <f t="shared" si="205"/>
        <v>0.54096045197740117</v>
      </c>
      <c r="N137" s="152">
        <f t="shared" si="206"/>
        <v>2.3997235845654528</v>
      </c>
      <c r="O137" s="152">
        <f t="shared" si="262"/>
        <v>0.40500000000000003</v>
      </c>
      <c r="P137" s="191">
        <f t="shared" si="207"/>
        <v>0.15998157230436352</v>
      </c>
      <c r="Q137" s="191">
        <f t="shared" si="208"/>
        <v>15</v>
      </c>
      <c r="R137" s="191"/>
      <c r="S137" s="152">
        <f t="shared" si="209"/>
        <v>149.52776150913505</v>
      </c>
      <c r="T137" s="152">
        <f t="shared" si="210"/>
        <v>15</v>
      </c>
      <c r="U137" s="191">
        <f t="shared" si="211"/>
        <v>0.12797750552319742</v>
      </c>
      <c r="V137" s="191">
        <f t="shared" si="212"/>
        <v>0.46268790458386755</v>
      </c>
      <c r="W137" s="191">
        <f t="shared" si="213"/>
        <v>0.39262028456855597</v>
      </c>
      <c r="X137" s="175">
        <f t="shared" si="214"/>
        <v>350</v>
      </c>
      <c r="Y137" s="386">
        <f t="shared" si="215"/>
        <v>350</v>
      </c>
      <c r="AA137" s="191">
        <f t="shared" si="216"/>
        <v>0.42750674016451157</v>
      </c>
      <c r="AB137" s="153">
        <f t="shared" si="217"/>
        <v>1.3115415657788541</v>
      </c>
      <c r="AC137" s="153">
        <f t="shared" si="218"/>
        <v>9.8121250390866027E-2</v>
      </c>
      <c r="AD137" s="153"/>
      <c r="AE137" s="153">
        <f t="shared" si="219"/>
        <v>0.46018276762402083</v>
      </c>
      <c r="AF137" s="317">
        <f t="shared" si="220"/>
        <v>782.2978723404259</v>
      </c>
      <c r="AG137" s="463">
        <f t="shared" si="221"/>
        <v>1.2079797650130546E-2</v>
      </c>
      <c r="AI137" s="153">
        <f t="shared" si="222"/>
        <v>0.22425560752765758</v>
      </c>
      <c r="AJ137" s="153">
        <f t="shared" si="223"/>
        <v>0.22425560752765758</v>
      </c>
      <c r="AK137" s="153">
        <f t="shared" si="224"/>
        <v>1.2495037383517718</v>
      </c>
      <c r="AM137" s="317">
        <f t="shared" si="225"/>
        <v>27.000000000000004</v>
      </c>
      <c r="AN137" s="147">
        <f t="shared" si="226"/>
        <v>350</v>
      </c>
      <c r="AP137" s="147">
        <f t="shared" si="227"/>
        <v>27.000000000000004</v>
      </c>
      <c r="AQ137" s="147">
        <f t="shared" si="228"/>
        <v>350</v>
      </c>
      <c r="AS137" s="5">
        <f t="shared" si="263"/>
        <v>2.8571428571428572</v>
      </c>
      <c r="AT137" s="5">
        <f t="shared" si="229"/>
        <v>0.81077027336922347</v>
      </c>
      <c r="AU137" s="5">
        <f t="shared" si="230"/>
        <v>2.0463725837736337</v>
      </c>
      <c r="AV137" s="5"/>
      <c r="AW137" s="153">
        <f t="shared" si="231"/>
        <v>0.28376959567922821</v>
      </c>
      <c r="AX137" s="153">
        <f t="shared" si="259"/>
        <v>0.41364000000000006</v>
      </c>
      <c r="AY137" s="153">
        <f t="shared" si="260"/>
        <v>8.0309342225367245E-2</v>
      </c>
      <c r="AZ137" s="153">
        <f t="shared" si="264"/>
        <v>5.1505838366752794</v>
      </c>
      <c r="BA137" s="147">
        <f t="shared" si="232"/>
        <v>3.4876336995076449</v>
      </c>
      <c r="BB137" s="147">
        <f t="shared" si="233"/>
        <v>1.3680247858934917</v>
      </c>
      <c r="BC137" s="5">
        <f t="shared" si="258"/>
        <v>9.444796540493694E-2</v>
      </c>
      <c r="BD137" s="147">
        <f t="shared" si="235"/>
        <v>7.1874435592164252</v>
      </c>
      <c r="BF137" s="153">
        <f t="shared" si="265"/>
        <v>6.8970855791428781E-2</v>
      </c>
      <c r="BG137" s="153">
        <f t="shared" si="261"/>
        <v>0.10957438974169191</v>
      </c>
      <c r="BI137" s="463">
        <f t="shared" si="236"/>
        <v>1.6649426320107228E-3</v>
      </c>
      <c r="BJ137" s="463">
        <f t="shared" si="237"/>
        <v>1.1114107909070707E-2</v>
      </c>
      <c r="BK137" s="463">
        <f t="shared" si="238"/>
        <v>4.3749999999999995E-3</v>
      </c>
      <c r="BL137" s="463">
        <f t="shared" si="239"/>
        <v>1.4035392000000001E-2</v>
      </c>
      <c r="BM137">
        <f t="shared" si="240"/>
        <v>3.7699999999999999E-3</v>
      </c>
      <c r="BN137">
        <f t="shared" si="241"/>
        <v>6.9999999999999999E-6</v>
      </c>
      <c r="BO137" s="463">
        <f t="shared" si="242"/>
        <v>3.5202023221329211E-2</v>
      </c>
      <c r="BP137" s="147">
        <f t="shared" si="243"/>
        <v>34.95944254108143</v>
      </c>
      <c r="BQ137" s="463">
        <f t="shared" si="244"/>
        <v>1.948700182186985E-2</v>
      </c>
      <c r="BT137" s="147">
        <f t="shared" si="245"/>
        <v>19.48700182186985</v>
      </c>
      <c r="BU137" s="463">
        <f t="shared" si="246"/>
        <v>4.7569789486020652E-3</v>
      </c>
      <c r="BV137" s="463">
        <f t="shared" si="247"/>
        <v>1.2006546887264198E-2</v>
      </c>
      <c r="BW137" s="463">
        <f t="shared" si="248"/>
        <v>0</v>
      </c>
      <c r="BX137" s="463"/>
      <c r="BY137" s="463">
        <f t="shared" si="249"/>
        <v>8.8008510638297888E-3</v>
      </c>
      <c r="BZ137" s="147">
        <f t="shared" si="250"/>
        <v>25.564376899696054</v>
      </c>
      <c r="CA137" s="153">
        <f t="shared" si="251"/>
        <v>8.001082126264733E-2</v>
      </c>
      <c r="CB137" s="5">
        <f t="shared" si="252"/>
        <v>0.40500000000000003</v>
      </c>
      <c r="CC137" s="153">
        <f t="shared" si="253"/>
        <v>0.83503291523609291</v>
      </c>
      <c r="CD137" s="5">
        <f t="shared" si="254"/>
        <v>83.503291523609292</v>
      </c>
      <c r="CG137" s="59">
        <f t="shared" si="255"/>
        <v>-50</v>
      </c>
      <c r="CH137">
        <f t="shared" si="256"/>
        <v>-50</v>
      </c>
    </row>
    <row r="138" spans="5:86" x14ac:dyDescent="0.25">
      <c r="E138" s="150">
        <v>28</v>
      </c>
      <c r="F138" s="191">
        <f t="shared" si="257"/>
        <v>2.8000000000000004E-2</v>
      </c>
      <c r="G138" s="191"/>
      <c r="H138" s="191">
        <f t="shared" si="201"/>
        <v>0.42000000000000004</v>
      </c>
      <c r="I138" s="472">
        <f t="shared" si="202"/>
        <v>13</v>
      </c>
      <c r="J138" s="386">
        <f t="shared" si="203"/>
        <v>15.32</v>
      </c>
      <c r="K138" s="386">
        <f t="shared" si="204"/>
        <v>28.32</v>
      </c>
      <c r="L138" s="386"/>
      <c r="M138" s="191">
        <f t="shared" si="205"/>
        <v>0.54096045197740117</v>
      </c>
      <c r="N138" s="152">
        <f t="shared" si="206"/>
        <v>2.3997235845654528</v>
      </c>
      <c r="O138" s="152">
        <f t="shared" si="262"/>
        <v>0.42000000000000004</v>
      </c>
      <c r="P138" s="191">
        <f t="shared" si="207"/>
        <v>0.15998157230436352</v>
      </c>
      <c r="Q138" s="191">
        <f t="shared" si="208"/>
        <v>15</v>
      </c>
      <c r="R138" s="191"/>
      <c r="S138" s="152">
        <f t="shared" si="209"/>
        <v>143.72530837353366</v>
      </c>
      <c r="T138" s="152">
        <f t="shared" si="210"/>
        <v>15</v>
      </c>
      <c r="U138" s="191">
        <f t="shared" si="211"/>
        <v>0.13271741313516769</v>
      </c>
      <c r="V138" s="191">
        <f t="shared" si="212"/>
        <v>0.47982449364252927</v>
      </c>
      <c r="W138" s="191">
        <f t="shared" si="213"/>
        <v>0.40716177658961361</v>
      </c>
      <c r="X138" s="175">
        <f t="shared" si="214"/>
        <v>350</v>
      </c>
      <c r="Y138" s="386">
        <f t="shared" si="215"/>
        <v>350</v>
      </c>
      <c r="AA138" s="191">
        <f t="shared" si="216"/>
        <v>0.42750674016451157</v>
      </c>
      <c r="AB138" s="153">
        <f t="shared" si="217"/>
        <v>1.3115415657788541</v>
      </c>
      <c r="AC138" s="153">
        <f t="shared" si="218"/>
        <v>9.8121250390866027E-2</v>
      </c>
      <c r="AD138" s="153"/>
      <c r="AE138" s="153">
        <f t="shared" si="219"/>
        <v>0.46018276762402083</v>
      </c>
      <c r="AF138" s="317">
        <f t="shared" si="220"/>
        <v>811.27186761229348</v>
      </c>
      <c r="AG138" s="463">
        <f t="shared" si="221"/>
        <v>1.2079797650130546E-2</v>
      </c>
      <c r="AI138" s="153">
        <f t="shared" si="222"/>
        <v>0.22837073255862211</v>
      </c>
      <c r="AJ138" s="153">
        <f t="shared" si="223"/>
        <v>0.22837073255862211</v>
      </c>
      <c r="AK138" s="153">
        <f t="shared" si="224"/>
        <v>1.2522471550390815</v>
      </c>
      <c r="AM138" s="317">
        <f t="shared" si="225"/>
        <v>28.000000000000004</v>
      </c>
      <c r="AN138" s="147">
        <f t="shared" si="226"/>
        <v>350</v>
      </c>
      <c r="AP138" s="147">
        <f t="shared" si="227"/>
        <v>28.000000000000004</v>
      </c>
      <c r="AQ138" s="147">
        <f t="shared" si="228"/>
        <v>350</v>
      </c>
      <c r="AS138" s="5">
        <f t="shared" si="263"/>
        <v>2.8571428571428572</v>
      </c>
      <c r="AT138" s="5">
        <f t="shared" si="229"/>
        <v>0.82564803309655688</v>
      </c>
      <c r="AU138" s="5">
        <f t="shared" si="230"/>
        <v>2.0314948240463004</v>
      </c>
      <c r="AV138" s="5"/>
      <c r="AW138" s="153">
        <f t="shared" si="231"/>
        <v>0.2889768115837949</v>
      </c>
      <c r="AX138" s="153">
        <f t="shared" si="259"/>
        <v>0.42896000000000001</v>
      </c>
      <c r="AY138" s="153">
        <f t="shared" si="260"/>
        <v>8.1188443202387967E-2</v>
      </c>
      <c r="AZ138" s="153">
        <f t="shared" si="264"/>
        <v>5.2835105968306477</v>
      </c>
      <c r="BA138" s="147">
        <f t="shared" si="232"/>
        <v>3.4876336995076449</v>
      </c>
      <c r="BB138" s="147">
        <f t="shared" si="233"/>
        <v>1.468125421317555</v>
      </c>
      <c r="BC138" s="5">
        <f t="shared" si="258"/>
        <v>9.7233940296233168E-2</v>
      </c>
      <c r="BD138" s="147">
        <f t="shared" si="235"/>
        <v>7.4002378299097948</v>
      </c>
      <c r="BF138" s="153">
        <f t="shared" si="265"/>
        <v>7.0877977281416205E-2</v>
      </c>
      <c r="BG138" s="153">
        <f t="shared" si="261"/>
        <v>0.11117872772979379</v>
      </c>
      <c r="BI138" s="463">
        <f t="shared" si="236"/>
        <v>1.7582906822267328E-3</v>
      </c>
      <c r="BJ138" s="463">
        <f t="shared" si="237"/>
        <v>1.1318053505605313E-2</v>
      </c>
      <c r="BK138" s="463">
        <f t="shared" si="238"/>
        <v>4.3749999999999995E-3</v>
      </c>
      <c r="BL138" s="463">
        <f t="shared" si="239"/>
        <v>1.4035392000000001E-2</v>
      </c>
      <c r="BM138">
        <f t="shared" si="240"/>
        <v>3.7699999999999999E-3</v>
      </c>
      <c r="BN138">
        <f t="shared" si="241"/>
        <v>6.9999999999999999E-6</v>
      </c>
      <c r="BO138" s="463">
        <f t="shared" si="242"/>
        <v>3.551262589022583E-2</v>
      </c>
      <c r="BP138" s="147">
        <f t="shared" si="243"/>
        <v>35.256736187832047</v>
      </c>
      <c r="BQ138" s="463">
        <f t="shared" si="244"/>
        <v>2.0139582057706336E-2</v>
      </c>
      <c r="BT138" s="147">
        <f t="shared" si="245"/>
        <v>20.139582057706335</v>
      </c>
      <c r="BU138" s="463">
        <f t="shared" si="246"/>
        <v>5.0236876635049513E-3</v>
      </c>
      <c r="BV138" s="463">
        <f t="shared" si="247"/>
        <v>1.2360709499615617E-2</v>
      </c>
      <c r="BW138" s="463">
        <f t="shared" si="248"/>
        <v>0</v>
      </c>
      <c r="BX138" s="463"/>
      <c r="BY138" s="463">
        <f t="shared" si="249"/>
        <v>9.1268085106383009E-3</v>
      </c>
      <c r="BZ138" s="147">
        <f t="shared" si="250"/>
        <v>26.511205673758869</v>
      </c>
      <c r="CA138" s="153">
        <f t="shared" si="251"/>
        <v>8.1907523919297245E-2</v>
      </c>
      <c r="CB138" s="5">
        <f t="shared" si="252"/>
        <v>0.42000000000000004</v>
      </c>
      <c r="CC138" s="153">
        <f t="shared" si="253"/>
        <v>0.83680753920623174</v>
      </c>
      <c r="CD138" s="5">
        <f t="shared" si="254"/>
        <v>83.680753920623175</v>
      </c>
      <c r="CG138" s="59">
        <f t="shared" si="255"/>
        <v>-50</v>
      </c>
      <c r="CH138">
        <f t="shared" si="256"/>
        <v>-50</v>
      </c>
    </row>
    <row r="139" spans="5:86" x14ac:dyDescent="0.25">
      <c r="E139" s="150">
        <v>29</v>
      </c>
      <c r="F139" s="191">
        <f t="shared" si="257"/>
        <v>2.8999999999999998E-2</v>
      </c>
      <c r="G139" s="191"/>
      <c r="H139" s="191">
        <f t="shared" si="201"/>
        <v>0.43499999999999994</v>
      </c>
      <c r="I139" s="472">
        <f t="shared" si="202"/>
        <v>13</v>
      </c>
      <c r="J139" s="386">
        <f t="shared" si="203"/>
        <v>15.32</v>
      </c>
      <c r="K139" s="386">
        <f t="shared" si="204"/>
        <v>28.32</v>
      </c>
      <c r="L139" s="386"/>
      <c r="M139" s="191">
        <f t="shared" si="205"/>
        <v>0.54096045197740117</v>
      </c>
      <c r="N139" s="152">
        <f t="shared" si="206"/>
        <v>2.3997235845654528</v>
      </c>
      <c r="O139" s="152">
        <f t="shared" si="262"/>
        <v>0.43499999999999994</v>
      </c>
      <c r="P139" s="191">
        <f t="shared" si="207"/>
        <v>0.15998157230436352</v>
      </c>
      <c r="Q139" s="191">
        <f t="shared" si="208"/>
        <v>15</v>
      </c>
      <c r="R139" s="191"/>
      <c r="S139" s="152">
        <f t="shared" si="209"/>
        <v>138.32310854585074</v>
      </c>
      <c r="T139" s="152">
        <f t="shared" si="210"/>
        <v>15</v>
      </c>
      <c r="U139" s="191">
        <f t="shared" si="211"/>
        <v>0.13745732074713793</v>
      </c>
      <c r="V139" s="191">
        <f t="shared" si="212"/>
        <v>0.49696108270119094</v>
      </c>
      <c r="W139" s="191">
        <f t="shared" si="213"/>
        <v>0.42170326861067114</v>
      </c>
      <c r="X139" s="175">
        <f t="shared" si="214"/>
        <v>350</v>
      </c>
      <c r="Y139" s="386">
        <f t="shared" si="215"/>
        <v>350</v>
      </c>
      <c r="AA139" s="191">
        <f t="shared" si="216"/>
        <v>0.42750674016451157</v>
      </c>
      <c r="AB139" s="153">
        <f t="shared" si="217"/>
        <v>1.3115415657788541</v>
      </c>
      <c r="AC139" s="153">
        <f t="shared" si="218"/>
        <v>9.8121250390866027E-2</v>
      </c>
      <c r="AD139" s="153"/>
      <c r="AE139" s="153">
        <f t="shared" si="219"/>
        <v>0.46018276762402083</v>
      </c>
      <c r="AF139" s="317">
        <f t="shared" si="220"/>
        <v>840.24586288416094</v>
      </c>
      <c r="AG139" s="463">
        <f t="shared" si="221"/>
        <v>1.2079797650130546E-2</v>
      </c>
      <c r="AI139" s="153">
        <f t="shared" si="222"/>
        <v>0.23241300624346437</v>
      </c>
      <c r="AJ139" s="153">
        <f t="shared" si="223"/>
        <v>0.23241300624346437</v>
      </c>
      <c r="AK139" s="153">
        <f t="shared" si="224"/>
        <v>1.2549420041623096</v>
      </c>
      <c r="AM139" s="317">
        <f t="shared" si="225"/>
        <v>28.999999999999996</v>
      </c>
      <c r="AN139" s="147">
        <f t="shared" si="226"/>
        <v>350</v>
      </c>
      <c r="AP139" s="147">
        <f t="shared" si="227"/>
        <v>28.999999999999996</v>
      </c>
      <c r="AQ139" s="147">
        <f t="shared" si="228"/>
        <v>350</v>
      </c>
      <c r="AS139" s="5">
        <f t="shared" si="263"/>
        <v>2.8571428571428572</v>
      </c>
      <c r="AT139" s="5">
        <f t="shared" si="229"/>
        <v>0.84026240718790957</v>
      </c>
      <c r="AU139" s="5">
        <f t="shared" si="230"/>
        <v>2.0168804499549475</v>
      </c>
      <c r="AV139" s="5"/>
      <c r="AW139" s="153">
        <f t="shared" si="231"/>
        <v>0.29409184251576836</v>
      </c>
      <c r="AX139" s="153">
        <f t="shared" si="259"/>
        <v>0.44427999999999984</v>
      </c>
      <c r="AY139" s="153">
        <f t="shared" si="260"/>
        <v>8.2031118506347575E-2</v>
      </c>
      <c r="AZ139" s="153">
        <f t="shared" si="264"/>
        <v>5.4159934435810655</v>
      </c>
      <c r="BA139" s="147">
        <f t="shared" si="232"/>
        <v>3.4876336995076449</v>
      </c>
      <c r="BB139" s="147">
        <f t="shared" si="233"/>
        <v>1.5717569889388561</v>
      </c>
      <c r="BC139" s="5">
        <f t="shared" si="258"/>
        <v>9.9982107775544393E-2</v>
      </c>
      <c r="BD139" s="147">
        <f t="shared" si="235"/>
        <v>7.6101965447042925</v>
      </c>
      <c r="BF139" s="153">
        <f t="shared" si="265"/>
        <v>7.2768142654086279E-2</v>
      </c>
      <c r="BG139" s="153">
        <f t="shared" si="261"/>
        <v>0.11273892808187159</v>
      </c>
      <c r="BI139" s="463">
        <f t="shared" si="236"/>
        <v>1.8533209048639076E-3</v>
      </c>
      <c r="BJ139" s="463">
        <f t="shared" si="237"/>
        <v>1.1518388589426096E-2</v>
      </c>
      <c r="BK139" s="463">
        <f t="shared" si="238"/>
        <v>4.3749999999999995E-3</v>
      </c>
      <c r="BL139" s="463">
        <f t="shared" si="239"/>
        <v>1.4035392000000001E-2</v>
      </c>
      <c r="BM139">
        <f t="shared" si="240"/>
        <v>3.7699999999999999E-3</v>
      </c>
      <c r="BN139">
        <f t="shared" si="241"/>
        <v>6.9999999999999999E-6</v>
      </c>
      <c r="BO139" s="463">
        <f t="shared" si="242"/>
        <v>3.58215485546187E-2</v>
      </c>
      <c r="BP139" s="147">
        <f t="shared" si="243"/>
        <v>35.552101494290007</v>
      </c>
      <c r="BQ139" s="463">
        <f t="shared" si="244"/>
        <v>2.0788490351457752E-2</v>
      </c>
      <c r="BT139" s="147">
        <f t="shared" si="245"/>
        <v>20.788490351457753</v>
      </c>
      <c r="BU139" s="463">
        <f t="shared" si="246"/>
        <v>5.295202585325451E-3</v>
      </c>
      <c r="BV139" s="463">
        <f t="shared" si="247"/>
        <v>1.2710065905049415E-2</v>
      </c>
      <c r="BW139" s="463">
        <f t="shared" si="248"/>
        <v>0</v>
      </c>
      <c r="BX139" s="463"/>
      <c r="BY139" s="463">
        <f t="shared" si="249"/>
        <v>9.4527659574468077E-3</v>
      </c>
      <c r="BZ139" s="147">
        <f t="shared" si="250"/>
        <v>27.458034447821674</v>
      </c>
      <c r="CA139" s="153">
        <f t="shared" si="251"/>
        <v>8.3798626293569434E-2</v>
      </c>
      <c r="CB139" s="5">
        <f t="shared" si="252"/>
        <v>0.43499999999999994</v>
      </c>
      <c r="CC139" s="153">
        <f t="shared" si="253"/>
        <v>0.83847562031486422</v>
      </c>
      <c r="CD139" s="5">
        <f t="shared" si="254"/>
        <v>83.847562031486419</v>
      </c>
      <c r="CG139" s="59">
        <f t="shared" si="255"/>
        <v>-50</v>
      </c>
      <c r="CH139">
        <f t="shared" si="256"/>
        <v>-50</v>
      </c>
    </row>
    <row r="140" spans="5:86" x14ac:dyDescent="0.25">
      <c r="E140" s="150">
        <v>30</v>
      </c>
      <c r="F140" s="191">
        <f t="shared" si="257"/>
        <v>0.03</v>
      </c>
      <c r="G140" s="191"/>
      <c r="H140" s="191">
        <f t="shared" si="201"/>
        <v>0.44999999999999996</v>
      </c>
      <c r="I140" s="472">
        <f t="shared" si="202"/>
        <v>13</v>
      </c>
      <c r="J140" s="386">
        <f t="shared" si="203"/>
        <v>15.32</v>
      </c>
      <c r="K140" s="386">
        <f t="shared" si="204"/>
        <v>28.32</v>
      </c>
      <c r="L140" s="386"/>
      <c r="M140" s="191">
        <f t="shared" si="205"/>
        <v>0.54096045197740117</v>
      </c>
      <c r="N140" s="152">
        <f t="shared" si="206"/>
        <v>2.3997235845654528</v>
      </c>
      <c r="O140" s="152">
        <f t="shared" si="262"/>
        <v>0.44999999999999996</v>
      </c>
      <c r="P140" s="191">
        <f t="shared" si="207"/>
        <v>0.15998157230436352</v>
      </c>
      <c r="Q140" s="191">
        <f t="shared" si="208"/>
        <v>15</v>
      </c>
      <c r="R140" s="191"/>
      <c r="S140" s="152">
        <f t="shared" si="209"/>
        <v>133.28113745944913</v>
      </c>
      <c r="T140" s="152">
        <f t="shared" si="210"/>
        <v>15</v>
      </c>
      <c r="U140" s="191">
        <f t="shared" si="211"/>
        <v>0.14219722835910822</v>
      </c>
      <c r="V140" s="191">
        <f t="shared" si="212"/>
        <v>0.51409767175985277</v>
      </c>
      <c r="W140" s="191">
        <f t="shared" si="213"/>
        <v>0.43624476063172885</v>
      </c>
      <c r="X140" s="175">
        <f t="shared" si="214"/>
        <v>350</v>
      </c>
      <c r="Y140" s="386">
        <f t="shared" si="215"/>
        <v>350</v>
      </c>
      <c r="AA140" s="191">
        <f t="shared" si="216"/>
        <v>0.42750674016451157</v>
      </c>
      <c r="AB140" s="153">
        <f t="shared" si="217"/>
        <v>1.3115415657788541</v>
      </c>
      <c r="AC140" s="153">
        <f t="shared" si="218"/>
        <v>9.8121250390866027E-2</v>
      </c>
      <c r="AD140" s="153"/>
      <c r="AE140" s="153">
        <f t="shared" si="219"/>
        <v>0.46018276762402083</v>
      </c>
      <c r="AF140" s="317">
        <f t="shared" si="220"/>
        <v>869.21985815602852</v>
      </c>
      <c r="AG140" s="463">
        <f t="shared" si="221"/>
        <v>1.2079797650130546E-2</v>
      </c>
      <c r="AI140" s="153">
        <f t="shared" si="222"/>
        <v>0.23638616595073311</v>
      </c>
      <c r="AJ140" s="153">
        <f t="shared" si="223"/>
        <v>0.23638616595073311</v>
      </c>
      <c r="AK140" s="153">
        <f t="shared" si="224"/>
        <v>1.2575907773004886</v>
      </c>
      <c r="AM140" s="317">
        <f t="shared" si="225"/>
        <v>30</v>
      </c>
      <c r="AN140" s="147">
        <f t="shared" si="226"/>
        <v>350</v>
      </c>
      <c r="AP140" s="147">
        <f t="shared" si="227"/>
        <v>30</v>
      </c>
      <c r="AQ140" s="147">
        <f t="shared" si="228"/>
        <v>350</v>
      </c>
      <c r="AS140" s="5">
        <f t="shared" si="263"/>
        <v>2.8571428571428572</v>
      </c>
      <c r="AT140" s="5">
        <f t="shared" si="229"/>
        <v>0.85462690766803495</v>
      </c>
      <c r="AU140" s="5">
        <f t="shared" si="230"/>
        <v>2.0025159494748221</v>
      </c>
      <c r="AV140" s="5"/>
      <c r="AW140" s="153">
        <f t="shared" si="231"/>
        <v>0.29911941768381223</v>
      </c>
      <c r="AX140" s="153">
        <f t="shared" si="259"/>
        <v>0.4595999999999999</v>
      </c>
      <c r="AY140" s="153">
        <f t="shared" si="260"/>
        <v>8.2839236821520418E-2</v>
      </c>
      <c r="AZ140" s="153">
        <f t="shared" si="264"/>
        <v>5.5480955358174251</v>
      </c>
      <c r="BA140" s="147">
        <f t="shared" si="232"/>
        <v>3.4876336995076449</v>
      </c>
      <c r="BB140" s="147">
        <f t="shared" si="233"/>
        <v>1.6789194887573968</v>
      </c>
      <c r="BC140" s="5">
        <f t="shared" si="258"/>
        <v>0.10269312561409344</v>
      </c>
      <c r="BD140" s="147">
        <f t="shared" si="235"/>
        <v>7.8173690364416233</v>
      </c>
      <c r="BF140" s="153">
        <f t="shared" si="265"/>
        <v>7.4642079927789443E-2</v>
      </c>
      <c r="BG140" s="153">
        <f t="shared" si="261"/>
        <v>0.11425716485928866</v>
      </c>
      <c r="BI140" s="463">
        <f t="shared" si="236"/>
        <v>1.9500040335812775E-3</v>
      </c>
      <c r="BJ140" s="463">
        <f t="shared" si="237"/>
        <v>1.1715298384518333E-2</v>
      </c>
      <c r="BK140" s="463">
        <f t="shared" si="238"/>
        <v>4.3749999999999995E-3</v>
      </c>
      <c r="BL140" s="463">
        <f t="shared" si="239"/>
        <v>1.4035392000000001E-2</v>
      </c>
      <c r="BM140">
        <f t="shared" si="240"/>
        <v>3.7699999999999999E-3</v>
      </c>
      <c r="BN140">
        <f t="shared" si="241"/>
        <v>6.9999999999999999E-6</v>
      </c>
      <c r="BO140" s="463">
        <f t="shared" si="242"/>
        <v>3.6128943280088685E-2</v>
      </c>
      <c r="BP140" s="147">
        <f t="shared" si="243"/>
        <v>35.845694418099612</v>
      </c>
      <c r="BQ140" s="463">
        <f t="shared" si="244"/>
        <v>2.143379058736556E-2</v>
      </c>
      <c r="BT140" s="147">
        <f t="shared" si="245"/>
        <v>21.433790587365561</v>
      </c>
      <c r="BU140" s="463">
        <f t="shared" si="246"/>
        <v>5.5714400959465072E-3</v>
      </c>
      <c r="BV140" s="463">
        <f t="shared" si="247"/>
        <v>1.3054699721682668E-2</v>
      </c>
      <c r="BW140" s="463">
        <f t="shared" si="248"/>
        <v>0</v>
      </c>
      <c r="BX140" s="463"/>
      <c r="BY140" s="463">
        <f t="shared" si="249"/>
        <v>9.7787234042553198E-3</v>
      </c>
      <c r="BZ140" s="147">
        <f t="shared" si="250"/>
        <v>28.404863221884497</v>
      </c>
      <c r="CA140" s="153">
        <f t="shared" si="251"/>
        <v>8.568434822734966E-2</v>
      </c>
      <c r="CB140" s="5">
        <f t="shared" si="252"/>
        <v>0.44999999999999996</v>
      </c>
      <c r="CC140" s="153">
        <f t="shared" si="253"/>
        <v>0.84004694460293539</v>
      </c>
      <c r="CD140" s="5">
        <f t="shared" si="254"/>
        <v>84.004694460293535</v>
      </c>
      <c r="CG140" s="59">
        <f t="shared" si="255"/>
        <v>-50</v>
      </c>
      <c r="CH140">
        <f t="shared" si="256"/>
        <v>-50</v>
      </c>
    </row>
    <row r="141" spans="5:86" x14ac:dyDescent="0.25">
      <c r="E141" s="150">
        <v>31</v>
      </c>
      <c r="F141" s="191">
        <f t="shared" si="257"/>
        <v>3.1E-2</v>
      </c>
      <c r="G141" s="191"/>
      <c r="H141" s="191">
        <f t="shared" si="201"/>
        <v>0.46499999999999997</v>
      </c>
      <c r="I141" s="472">
        <f t="shared" si="202"/>
        <v>13</v>
      </c>
      <c r="J141" s="386">
        <f t="shared" si="203"/>
        <v>15.32</v>
      </c>
      <c r="K141" s="386">
        <f t="shared" si="204"/>
        <v>28.32</v>
      </c>
      <c r="L141" s="386"/>
      <c r="M141" s="191">
        <f t="shared" si="205"/>
        <v>0.54096045197740117</v>
      </c>
      <c r="N141" s="152">
        <f t="shared" si="206"/>
        <v>2.3997235845654528</v>
      </c>
      <c r="O141" s="152">
        <f t="shared" si="262"/>
        <v>0.46499999999999997</v>
      </c>
      <c r="P141" s="191">
        <f t="shared" si="207"/>
        <v>0.15998157230436352</v>
      </c>
      <c r="Q141" s="191">
        <f t="shared" si="208"/>
        <v>15</v>
      </c>
      <c r="R141" s="191"/>
      <c r="S141" s="152">
        <f t="shared" si="209"/>
        <v>128.56453501690189</v>
      </c>
      <c r="T141" s="152">
        <f t="shared" si="210"/>
        <v>15</v>
      </c>
      <c r="U141" s="191">
        <f t="shared" si="211"/>
        <v>0.14693713597107849</v>
      </c>
      <c r="V141" s="191">
        <f t="shared" si="212"/>
        <v>0.53123426081851455</v>
      </c>
      <c r="W141" s="191">
        <f t="shared" si="213"/>
        <v>0.45078625265278649</v>
      </c>
      <c r="X141" s="175">
        <f t="shared" si="214"/>
        <v>350</v>
      </c>
      <c r="Y141" s="386">
        <f t="shared" si="215"/>
        <v>350</v>
      </c>
      <c r="AA141" s="191">
        <f t="shared" si="216"/>
        <v>0.42750674016451157</v>
      </c>
      <c r="AB141" s="153">
        <f t="shared" si="217"/>
        <v>1.3115415657788541</v>
      </c>
      <c r="AC141" s="153">
        <f t="shared" si="218"/>
        <v>9.8121250390866027E-2</v>
      </c>
      <c r="AD141" s="153"/>
      <c r="AE141" s="153">
        <f t="shared" si="219"/>
        <v>0.46018276762402083</v>
      </c>
      <c r="AF141" s="317">
        <f t="shared" si="220"/>
        <v>898.19385342789622</v>
      </c>
      <c r="AG141" s="463">
        <f t="shared" si="221"/>
        <v>1.2079797650130546E-2</v>
      </c>
      <c r="AI141" s="153">
        <f t="shared" si="222"/>
        <v>0.2402936400212258</v>
      </c>
      <c r="AJ141" s="153">
        <f t="shared" si="223"/>
        <v>0.2402936400212258</v>
      </c>
      <c r="AK141" s="153">
        <f t="shared" si="224"/>
        <v>1.2601957600141505</v>
      </c>
      <c r="AM141" s="317">
        <f t="shared" si="225"/>
        <v>31</v>
      </c>
      <c r="AN141" s="147">
        <f t="shared" si="226"/>
        <v>350</v>
      </c>
      <c r="AP141" s="147">
        <f t="shared" si="227"/>
        <v>31</v>
      </c>
      <c r="AQ141" s="147">
        <f t="shared" si="228"/>
        <v>350</v>
      </c>
      <c r="AS141" s="5">
        <f t="shared" si="263"/>
        <v>2.8571428571428572</v>
      </c>
      <c r="AT141" s="5">
        <f t="shared" si="229"/>
        <v>0.8687539293075085</v>
      </c>
      <c r="AU141" s="5">
        <f t="shared" si="230"/>
        <v>1.9883889278353486</v>
      </c>
      <c r="AV141" s="5"/>
      <c r="AW141" s="153">
        <f t="shared" si="231"/>
        <v>0.30406387525762796</v>
      </c>
      <c r="AX141" s="153">
        <f t="shared" si="259"/>
        <v>0.4749199999999999</v>
      </c>
      <c r="AY141" s="153">
        <f t="shared" si="260"/>
        <v>8.3614512318305231E-2</v>
      </c>
      <c r="AZ141" s="153">
        <f t="shared" si="264"/>
        <v>5.6798752612712242</v>
      </c>
      <c r="BA141" s="147">
        <f t="shared" si="232"/>
        <v>3.4876336995076449</v>
      </c>
      <c r="BB141" s="147">
        <f t="shared" si="233"/>
        <v>1.7896129207731757</v>
      </c>
      <c r="BC141" s="5">
        <f t="shared" si="258"/>
        <v>0.10536761839811248</v>
      </c>
      <c r="BD141" s="147">
        <f t="shared" si="235"/>
        <v>8.021802149089206</v>
      </c>
      <c r="BF141" s="153">
        <f t="shared" si="265"/>
        <v>7.6500462716509288E-2</v>
      </c>
      <c r="BG141" s="153">
        <f t="shared" si="261"/>
        <v>0.11573543255651424</v>
      </c>
      <c r="BI141" s="463">
        <f t="shared" si="236"/>
        <v>2.0483122785440095E-3</v>
      </c>
      <c r="BJ141" s="463">
        <f t="shared" si="237"/>
        <v>1.1908952799451953E-2</v>
      </c>
      <c r="BK141" s="463">
        <f t="shared" si="238"/>
        <v>4.3749999999999995E-3</v>
      </c>
      <c r="BL141" s="463">
        <f t="shared" si="239"/>
        <v>1.4035392000000001E-2</v>
      </c>
      <c r="BM141">
        <f t="shared" si="240"/>
        <v>3.7699999999999999E-3</v>
      </c>
      <c r="BN141">
        <f t="shared" si="241"/>
        <v>6.9999999999999999E-6</v>
      </c>
      <c r="BO141" s="463">
        <f t="shared" si="242"/>
        <v>3.6434948498713156E-2</v>
      </c>
      <c r="BP141" s="147">
        <f t="shared" si="243"/>
        <v>36.137657077995968</v>
      </c>
      <c r="BQ141" s="463">
        <f t="shared" si="244"/>
        <v>2.2075543426669206E-2</v>
      </c>
      <c r="BT141" s="147">
        <f t="shared" si="245"/>
        <v>22.075543426669206</v>
      </c>
      <c r="BU141" s="463">
        <f t="shared" si="246"/>
        <v>5.8523207958400278E-3</v>
      </c>
      <c r="BV141" s="463">
        <f t="shared" si="247"/>
        <v>1.3394690349043456E-2</v>
      </c>
      <c r="BW141" s="463">
        <f t="shared" si="248"/>
        <v>0</v>
      </c>
      <c r="BX141" s="463"/>
      <c r="BY141" s="463">
        <f t="shared" si="249"/>
        <v>1.010468085106383E-2</v>
      </c>
      <c r="BZ141" s="147">
        <f t="shared" si="250"/>
        <v>29.351691995947316</v>
      </c>
      <c r="CA141" s="153">
        <f t="shared" si="251"/>
        <v>8.7564892500612501E-2</v>
      </c>
      <c r="CB141" s="5">
        <f t="shared" si="252"/>
        <v>0.46499999999999997</v>
      </c>
      <c r="CC141" s="153">
        <f t="shared" si="253"/>
        <v>0.84153011946824785</v>
      </c>
      <c r="CD141" s="5">
        <f t="shared" si="254"/>
        <v>84.15301194682479</v>
      </c>
      <c r="CG141" s="59">
        <f t="shared" si="255"/>
        <v>-50</v>
      </c>
      <c r="CH141">
        <f t="shared" si="256"/>
        <v>-50</v>
      </c>
    </row>
    <row r="142" spans="5:86" x14ac:dyDescent="0.25">
      <c r="E142" s="150">
        <v>32</v>
      </c>
      <c r="F142" s="191">
        <f t="shared" si="257"/>
        <v>3.2000000000000001E-2</v>
      </c>
      <c r="G142" s="191"/>
      <c r="H142" s="191">
        <f t="shared" ref="H142:H173" si="266">F142*Vout</f>
        <v>0.48</v>
      </c>
      <c r="I142" s="472">
        <f t="shared" ref="I142:I173" si="267">VIN_min</f>
        <v>13</v>
      </c>
      <c r="J142" s="386">
        <f t="shared" ref="J142:J173" si="268">(T142+Vfwd1)*Nps</f>
        <v>15.32</v>
      </c>
      <c r="K142" s="386">
        <f t="shared" ref="K142:K173" si="269">(Vout+Vfwd1)*Nps+I142</f>
        <v>28.32</v>
      </c>
      <c r="L142" s="386"/>
      <c r="M142" s="191">
        <f t="shared" ref="M142:M173" si="270">(Vout+Vfwd1)*Nps/((Vout+Vfwd1)*Nps+I142)</f>
        <v>0.54096045197740117</v>
      </c>
      <c r="N142" s="152">
        <f t="shared" ref="N142:N173" si="271">M142*I142*(Isw_max+VIN_min/Lmag*ILIM_delay)*0.5*Efficiency</f>
        <v>2.3997235845654528</v>
      </c>
      <c r="O142" s="152">
        <f t="shared" si="262"/>
        <v>0.48</v>
      </c>
      <c r="P142" s="191">
        <f t="shared" ref="P142:P173" si="272">N142/Vout</f>
        <v>0.15998157230436352</v>
      </c>
      <c r="Q142" s="191">
        <f t="shared" ref="Q142:Q173" si="273">MIN(Vout,N142/F142)</f>
        <v>15</v>
      </c>
      <c r="R142" s="191"/>
      <c r="S142" s="152">
        <f t="shared" ref="S142:S173" si="274">(SQRT(Isw_max^2*Nps^2*I142^2+4*Isw_max*F142/Efficiency*(Nps^2*Vfwd1*I142-Nps*I142^2)+4*(F142/Efficiency)^2*Nps^2*Vfwd1^2+8*(F142/Efficiency)^2*Nps*Vfwd1*I142+4*(F142/Efficiency)^2*I142^2)-2*F142/Efficiency*I142-2*F142/Efficiency*Nps*Vfwd1+Isw_max*Nps*I142)/(4*F142/Efficiency*Nps)</f>
        <v>124.14279864180619</v>
      </c>
      <c r="T142" s="152">
        <f t="shared" ref="T142:T173" si="275">MIN(Vout, S142)</f>
        <v>15</v>
      </c>
      <c r="U142" s="191">
        <f t="shared" ref="U142:U173" si="276">MIN(2*Vout*F142/(Efficiency*I142*M142), Isw_max)</f>
        <v>0.15167704358304876</v>
      </c>
      <c r="V142" s="191">
        <f t="shared" ref="V142:V173" si="277">L*U142/I142*1000000</f>
        <v>0.54837084987717621</v>
      </c>
      <c r="W142" s="191">
        <f t="shared" ref="W142:W173" si="278">L*U142/J142*1000000</f>
        <v>0.46532774467384408</v>
      </c>
      <c r="X142" s="175">
        <f t="shared" ref="X142:X173" si="279">IF(1/((350000*L)*(1/I142+1/J142))&gt;Isw_min, 350, 0.001/((Isw_min*L)*(1/I142+1/J142)))</f>
        <v>350</v>
      </c>
      <c r="Y142" s="386">
        <f t="shared" si="215"/>
        <v>350</v>
      </c>
      <c r="AA142" s="191">
        <f t="shared" ref="AA142:AA173" si="280">1/((X142*1000*L)*(1/I142+1/J142))</f>
        <v>0.42750674016451157</v>
      </c>
      <c r="AB142" s="153">
        <f t="shared" ref="AB142:AB173" si="281">L*AA142/J142*1000000</f>
        <v>1.3115415657788541</v>
      </c>
      <c r="AC142" s="153">
        <f t="shared" ref="AC142:AC173" si="282">0.5*AB142*AA142*Nps*X142/1000</f>
        <v>9.8121250390866027E-2</v>
      </c>
      <c r="AD142" s="153"/>
      <c r="AE142" s="153">
        <f t="shared" ref="AE142:AE173" si="283">L*Isw_min/J142*1000000</f>
        <v>0.46018276762402083</v>
      </c>
      <c r="AF142" s="317">
        <f t="shared" ref="AF142:AF173" si="284">MAX(12000,F142/(0.5*AE142/1000000*Isw_min*Nps))/1000</f>
        <v>927.16784869976391</v>
      </c>
      <c r="AG142" s="463">
        <f t="shared" ref="AG142:AG173" si="285">0.5*AE142/1000000*Isw_min*Nps*X142*1000</f>
        <v>1.2079797650130546E-2</v>
      </c>
      <c r="AI142" s="153">
        <f t="shared" ref="AI142:AI173" si="286">SQRT(F142/(0.5*L/J142*Fsw_DCM*Nps))</f>
        <v>0.24413858240026989</v>
      </c>
      <c r="AJ142" s="153">
        <f t="shared" ref="AJ142:AJ173" si="287">MAX(IF(F142&gt;AC142,U142,AI142),Isw_min)</f>
        <v>0.24413858240026989</v>
      </c>
      <c r="AK142" s="153">
        <f t="shared" ref="AK142:AK173" si="288">IF(F142&gt;AG142, (AJ142-Isw_min)/1.2*0.8+1.2, AF142*0.2/350+1)</f>
        <v>1.2627590549335133</v>
      </c>
      <c r="AM142" s="317">
        <f t="shared" ref="AM142:AM173" si="289">F142*1000</f>
        <v>32</v>
      </c>
      <c r="AN142" s="147">
        <f t="shared" ref="AN142:AN173" si="290">IF(F142&gt;AG142, Y142, AF142)</f>
        <v>350</v>
      </c>
      <c r="AP142" s="147">
        <f t="shared" ref="AP142:AP173" si="291">IF(H142&gt;N142, "",AM142)</f>
        <v>32</v>
      </c>
      <c r="AQ142" s="147">
        <f t="shared" ref="AQ142:AQ173" si="292">IF(H142&gt;N142, "",AN142)</f>
        <v>350</v>
      </c>
      <c r="AS142" s="5">
        <f t="shared" si="263"/>
        <v>2.8571428571428572</v>
      </c>
      <c r="AT142" s="5">
        <f t="shared" ref="AT142:AT173" si="293">L*AJ142/I142*1000000</f>
        <v>0.88265487483174487</v>
      </c>
      <c r="AU142" s="5">
        <f t="shared" si="230"/>
        <v>1.9744879823111123</v>
      </c>
      <c r="AV142" s="5"/>
      <c r="AW142" s="153">
        <f t="shared" si="231"/>
        <v>0.30892920619111069</v>
      </c>
      <c r="AX142" s="153">
        <f t="shared" si="259"/>
        <v>0.49023999999999995</v>
      </c>
      <c r="AY142" s="153">
        <f t="shared" si="260"/>
        <v>8.4358521969365732E-2</v>
      </c>
      <c r="AZ142" s="153">
        <f t="shared" si="264"/>
        <v>5.8113867876683232</v>
      </c>
      <c r="BA142" s="147">
        <f t="shared" ref="BA142:BA173" si="294">L*Isw_max^2/(2*Vout_ripple*Vout)*1000000000*((1+M142)/2)^2</f>
        <v>3.4876336995076449</v>
      </c>
      <c r="BB142" s="147">
        <f t="shared" ref="BB142:BB173" si="295">L*F142^2/(2*Cout*Vout*Nps^2)*1000000000*((1+M142)/(1-M142))^2+F142*RCoutEsr</f>
        <v>1.9038372849861935</v>
      </c>
      <c r="BC142" s="5">
        <f t="shared" si="258"/>
        <v>0.10800618022898394</v>
      </c>
      <c r="BD142" s="147">
        <f t="shared" ref="BD142:BD173" si="296">((CB142/I142/Efficiency)*AU142/Cin+(CB142/I142/Efficiency)*RCinEsr)*1000</f>
        <v>8.2235404402507175</v>
      </c>
      <c r="BF142" s="153">
        <f t="shared" si="265"/>
        <v>7.8343915914484447E-2</v>
      </c>
      <c r="BG142" s="153">
        <f t="shared" si="261"/>
        <v>0.11717556618733267</v>
      </c>
      <c r="BI142" s="463">
        <f t="shared" si="236"/>
        <v>2.1482192062855332E-3</v>
      </c>
      <c r="BJ142" s="463">
        <f t="shared" si="237"/>
        <v>1.2099508143757374E-2</v>
      </c>
      <c r="BK142" s="463">
        <f t="shared" si="238"/>
        <v>4.3749999999999995E-3</v>
      </c>
      <c r="BL142" s="463">
        <f t="shared" si="239"/>
        <v>1.4035392000000001E-2</v>
      </c>
      <c r="BM142">
        <f t="shared" si="240"/>
        <v>3.7699999999999999E-3</v>
      </c>
      <c r="BN142">
        <f t="shared" ref="BN142:BN173" si="297">(I142-Vdd)*Qg*AN142</f>
        <v>6.9999999999999999E-6</v>
      </c>
      <c r="BO142" s="463">
        <f t="shared" ref="BO142:BO173" si="298">(BJ142+BK142+BL142+BM142+BN142+BI142*(1+RdsonTC*(Ta-25)))/(1-BI142*RdsonTC*ThetaJA)</f>
        <v>3.6739690588593728E-2</v>
      </c>
      <c r="BP142" s="147">
        <f t="shared" si="243"/>
        <v>36.428119350042913</v>
      </c>
      <c r="BQ142" s="463">
        <f t="shared" ref="BQ142:BQ173" si="299">(Vfwd2*F142+BG142^2*Rdiode)*(1+Diode_TC/1000*(Ta-25))</f>
        <v>2.2713806569849993E-2</v>
      </c>
      <c r="BT142" s="147">
        <f t="shared" si="245"/>
        <v>22.713806569849993</v>
      </c>
      <c r="BU142" s="463">
        <f t="shared" si="246"/>
        <v>6.137769160815809E-3</v>
      </c>
      <c r="BV142" s="463">
        <f t="shared" si="247"/>
        <v>1.3730113311321979E-2</v>
      </c>
      <c r="BW142" s="463">
        <f t="shared" si="248"/>
        <v>0</v>
      </c>
      <c r="BX142" s="463"/>
      <c r="BY142" s="463">
        <f t="shared" si="249"/>
        <v>1.0430638297872342E-2</v>
      </c>
      <c r="BZ142" s="147">
        <f t="shared" si="250"/>
        <v>30.298520770010128</v>
      </c>
      <c r="CA142" s="153">
        <f t="shared" si="251"/>
        <v>8.9440446689903044E-2</v>
      </c>
      <c r="CB142" s="5">
        <f t="shared" si="252"/>
        <v>0.48</v>
      </c>
      <c r="CC142" s="153">
        <f t="shared" si="253"/>
        <v>0.84293274703296739</v>
      </c>
      <c r="CD142" s="5">
        <f t="shared" si="254"/>
        <v>84.293274703296746</v>
      </c>
      <c r="CG142" s="59">
        <f t="shared" ref="CG142:CG173" si="300">IF(ABS(F142-Ioutmax_Vinmin)&lt;Iout/200, AN142, -50)</f>
        <v>-50</v>
      </c>
      <c r="CH142">
        <f t="shared" ref="CH142:CH173" si="301">IF(ABS(F142-Ioutmax_Vinmin)&lt;Iout/200, N142*CC142, -50)</f>
        <v>-50</v>
      </c>
    </row>
    <row r="143" spans="5:86" x14ac:dyDescent="0.25">
      <c r="E143" s="150">
        <v>33</v>
      </c>
      <c r="F143" s="191">
        <f t="shared" ref="F143:F174" si="302">IF(PLOT_TYPE=1, E143/100*Iout_max, min_I*EXP(N143*rr/100))</f>
        <v>3.3000000000000002E-2</v>
      </c>
      <c r="G143" s="191"/>
      <c r="H143" s="191">
        <f t="shared" si="266"/>
        <v>0.495</v>
      </c>
      <c r="I143" s="472">
        <f t="shared" si="267"/>
        <v>13</v>
      </c>
      <c r="J143" s="386">
        <f t="shared" si="268"/>
        <v>15.32</v>
      </c>
      <c r="K143" s="386">
        <f t="shared" si="269"/>
        <v>28.32</v>
      </c>
      <c r="L143" s="386"/>
      <c r="M143" s="191">
        <f t="shared" si="270"/>
        <v>0.54096045197740117</v>
      </c>
      <c r="N143" s="152">
        <f t="shared" si="271"/>
        <v>2.3997235845654528</v>
      </c>
      <c r="O143" s="152">
        <f t="shared" si="262"/>
        <v>0.495</v>
      </c>
      <c r="P143" s="191">
        <f t="shared" si="272"/>
        <v>0.15998157230436352</v>
      </c>
      <c r="Q143" s="191">
        <f t="shared" si="273"/>
        <v>15</v>
      </c>
      <c r="R143" s="191"/>
      <c r="S143" s="152">
        <f t="shared" si="274"/>
        <v>119.98912304845182</v>
      </c>
      <c r="T143" s="152">
        <f t="shared" si="275"/>
        <v>15</v>
      </c>
      <c r="U143" s="191">
        <f t="shared" si="276"/>
        <v>0.15641695119501905</v>
      </c>
      <c r="V143" s="191">
        <f t="shared" si="277"/>
        <v>0.5655074389358381</v>
      </c>
      <c r="W143" s="191">
        <f t="shared" si="278"/>
        <v>0.47986923669490178</v>
      </c>
      <c r="X143" s="175">
        <f t="shared" si="279"/>
        <v>350</v>
      </c>
      <c r="Y143" s="386">
        <f t="shared" si="215"/>
        <v>350</v>
      </c>
      <c r="AA143" s="191">
        <f t="shared" si="280"/>
        <v>0.42750674016451157</v>
      </c>
      <c r="AB143" s="153">
        <f t="shared" si="281"/>
        <v>1.3115415657788541</v>
      </c>
      <c r="AC143" s="153">
        <f t="shared" si="282"/>
        <v>9.8121250390866027E-2</v>
      </c>
      <c r="AD143" s="153"/>
      <c r="AE143" s="153">
        <f t="shared" si="283"/>
        <v>0.46018276762402083</v>
      </c>
      <c r="AF143" s="317">
        <f t="shared" si="284"/>
        <v>956.14184397163149</v>
      </c>
      <c r="AG143" s="463">
        <f t="shared" si="285"/>
        <v>1.2079797650130546E-2</v>
      </c>
      <c r="AI143" s="153">
        <f t="shared" si="286"/>
        <v>0.24792390243414669</v>
      </c>
      <c r="AJ143" s="153">
        <f t="shared" si="287"/>
        <v>0.24792390243414669</v>
      </c>
      <c r="AK143" s="153">
        <f t="shared" si="288"/>
        <v>1.2652826016227645</v>
      </c>
      <c r="AM143" s="317">
        <f t="shared" si="289"/>
        <v>33</v>
      </c>
      <c r="AN143" s="147">
        <f t="shared" si="290"/>
        <v>350</v>
      </c>
      <c r="AP143" s="147">
        <f t="shared" si="291"/>
        <v>33</v>
      </c>
      <c r="AQ143" s="147">
        <f t="shared" si="292"/>
        <v>350</v>
      </c>
      <c r="AS143" s="5">
        <f t="shared" si="263"/>
        <v>2.8571428571428572</v>
      </c>
      <c r="AT143" s="5">
        <f t="shared" si="293"/>
        <v>0.89634026264653033</v>
      </c>
      <c r="AU143" s="5">
        <f t="shared" si="230"/>
        <v>1.960802594496327</v>
      </c>
      <c r="AV143" s="5"/>
      <c r="AW143" s="153">
        <f t="shared" si="231"/>
        <v>0.31371909192628561</v>
      </c>
      <c r="AX143" s="153">
        <f t="shared" si="259"/>
        <v>0.5055599999999999</v>
      </c>
      <c r="AY143" s="153">
        <f t="shared" si="260"/>
        <v>8.5072720447842587E-2</v>
      </c>
      <c r="AZ143" s="153">
        <f t="shared" si="264"/>
        <v>5.9426805365881625</v>
      </c>
      <c r="BA143" s="147">
        <f t="shared" si="294"/>
        <v>3.4876336995076449</v>
      </c>
      <c r="BB143" s="147">
        <f t="shared" si="295"/>
        <v>2.0215925813964506</v>
      </c>
      <c r="BC143" s="5">
        <f t="shared" si="258"/>
        <v>0.11060937712543382</v>
      </c>
      <c r="BD143" s="147">
        <f t="shared" si="296"/>
        <v>8.4226263613306145</v>
      </c>
      <c r="BF143" s="153">
        <f t="shared" si="265"/>
        <v>8.0173020628179659E-2</v>
      </c>
      <c r="BG143" s="153">
        <f t="shared" si="261"/>
        <v>0.11857925856888116</v>
      </c>
      <c r="BI143" s="463">
        <f t="shared" si="236"/>
        <v>2.2496996328262822E-3</v>
      </c>
      <c r="BJ143" s="463">
        <f t="shared" si="237"/>
        <v>1.2287108604636309E-2</v>
      </c>
      <c r="BK143" s="463">
        <f t="shared" si="238"/>
        <v>4.3749999999999995E-3</v>
      </c>
      <c r="BL143" s="463">
        <f t="shared" si="239"/>
        <v>1.4035392000000001E-2</v>
      </c>
      <c r="BM143">
        <f t="shared" si="240"/>
        <v>3.7699999999999999E-3</v>
      </c>
      <c r="BN143">
        <f t="shared" si="297"/>
        <v>6.9999999999999999E-6</v>
      </c>
      <c r="BO143" s="463">
        <f t="shared" si="298"/>
        <v>3.7043285228819472E-2</v>
      </c>
      <c r="BP143" s="147">
        <f t="shared" si="243"/>
        <v>36.717200237462592</v>
      </c>
      <c r="BQ143" s="463">
        <f t="shared" si="299"/>
        <v>2.3348634989937625E-2</v>
      </c>
      <c r="BT143" s="147">
        <f t="shared" si="245"/>
        <v>23.348634989937626</v>
      </c>
      <c r="BU143" s="463">
        <f t="shared" si="246"/>
        <v>6.4277132366465208E-3</v>
      </c>
      <c r="BV143" s="463">
        <f t="shared" si="247"/>
        <v>1.4061040562745576E-2</v>
      </c>
      <c r="BW143" s="463">
        <f t="shared" si="248"/>
        <v>0</v>
      </c>
      <c r="BX143" s="463"/>
      <c r="BY143" s="463">
        <f t="shared" si="249"/>
        <v>1.0756595744680852E-2</v>
      </c>
      <c r="BZ143" s="147">
        <f t="shared" si="250"/>
        <v>31.245349544072948</v>
      </c>
      <c r="CA143" s="153">
        <f t="shared" si="251"/>
        <v>9.1311184771473153E-2</v>
      </c>
      <c r="CB143" s="5">
        <f t="shared" si="252"/>
        <v>0.495</v>
      </c>
      <c r="CC143" s="153">
        <f t="shared" si="253"/>
        <v>0.84426156767406102</v>
      </c>
      <c r="CD143" s="5">
        <f t="shared" si="254"/>
        <v>84.426156767406098</v>
      </c>
      <c r="CG143" s="59">
        <f t="shared" si="300"/>
        <v>-50</v>
      </c>
      <c r="CH143">
        <f t="shared" si="301"/>
        <v>-50</v>
      </c>
    </row>
    <row r="144" spans="5:86" x14ac:dyDescent="0.25">
      <c r="E144" s="150">
        <v>34</v>
      </c>
      <c r="F144" s="191">
        <f t="shared" si="302"/>
        <v>3.4000000000000002E-2</v>
      </c>
      <c r="G144" s="191"/>
      <c r="H144" s="191">
        <f t="shared" si="266"/>
        <v>0.51</v>
      </c>
      <c r="I144" s="472">
        <f t="shared" si="267"/>
        <v>13</v>
      </c>
      <c r="J144" s="386">
        <f t="shared" si="268"/>
        <v>15.32</v>
      </c>
      <c r="K144" s="386">
        <f t="shared" si="269"/>
        <v>28.32</v>
      </c>
      <c r="L144" s="386"/>
      <c r="M144" s="191">
        <f t="shared" si="270"/>
        <v>0.54096045197740117</v>
      </c>
      <c r="N144" s="152">
        <f t="shared" si="271"/>
        <v>2.3997235845654528</v>
      </c>
      <c r="O144" s="152">
        <f t="shared" si="262"/>
        <v>0.51</v>
      </c>
      <c r="P144" s="191">
        <f t="shared" si="272"/>
        <v>0.15998157230436352</v>
      </c>
      <c r="Q144" s="191">
        <f t="shared" si="273"/>
        <v>15</v>
      </c>
      <c r="R144" s="191"/>
      <c r="S144" s="152">
        <f t="shared" si="274"/>
        <v>116.07985652272649</v>
      </c>
      <c r="T144" s="152">
        <f t="shared" si="275"/>
        <v>15</v>
      </c>
      <c r="U144" s="191">
        <f t="shared" si="276"/>
        <v>0.16115685880698932</v>
      </c>
      <c r="V144" s="191">
        <f t="shared" si="277"/>
        <v>0.58264402799449977</v>
      </c>
      <c r="W144" s="191">
        <f t="shared" si="278"/>
        <v>0.49441072871595942</v>
      </c>
      <c r="X144" s="175">
        <f t="shared" si="279"/>
        <v>350</v>
      </c>
      <c r="Y144" s="386">
        <f t="shared" si="215"/>
        <v>350</v>
      </c>
      <c r="AA144" s="191">
        <f t="shared" si="280"/>
        <v>0.42750674016451157</v>
      </c>
      <c r="AB144" s="153">
        <f t="shared" si="281"/>
        <v>1.3115415657788541</v>
      </c>
      <c r="AC144" s="153">
        <f t="shared" si="282"/>
        <v>9.8121250390866027E-2</v>
      </c>
      <c r="AD144" s="153"/>
      <c r="AE144" s="153">
        <f t="shared" si="283"/>
        <v>0.46018276762402083</v>
      </c>
      <c r="AF144" s="317">
        <f t="shared" si="284"/>
        <v>985.11583924349907</v>
      </c>
      <c r="AG144" s="463">
        <f t="shared" si="285"/>
        <v>1.2079797650130546E-2</v>
      </c>
      <c r="AI144" s="153">
        <f t="shared" si="286"/>
        <v>0.25165229063121841</v>
      </c>
      <c r="AJ144" s="153">
        <f t="shared" si="287"/>
        <v>0.25165229063121841</v>
      </c>
      <c r="AK144" s="153">
        <f t="shared" si="288"/>
        <v>1.2677681937541456</v>
      </c>
      <c r="AM144" s="317">
        <f t="shared" si="289"/>
        <v>34</v>
      </c>
      <c r="AN144" s="147">
        <f t="shared" si="290"/>
        <v>350</v>
      </c>
      <c r="AP144" s="147">
        <f t="shared" si="291"/>
        <v>34</v>
      </c>
      <c r="AQ144" s="147">
        <f t="shared" si="292"/>
        <v>350</v>
      </c>
      <c r="AS144" s="5">
        <f t="shared" si="263"/>
        <v>2.8571428571428572</v>
      </c>
      <c r="AT144" s="5">
        <f t="shared" si="293"/>
        <v>0.90981981997440498</v>
      </c>
      <c r="AU144" s="5">
        <f t="shared" si="230"/>
        <v>1.9473230371684522</v>
      </c>
      <c r="AV144" s="5"/>
      <c r="AW144" s="153">
        <f t="shared" si="231"/>
        <v>0.31843693699104175</v>
      </c>
      <c r="AX144" s="153">
        <f t="shared" si="259"/>
        <v>0.5208799999999999</v>
      </c>
      <c r="AY144" s="153">
        <f t="shared" si="260"/>
        <v>8.5758453007916888E-2</v>
      </c>
      <c r="AZ144" s="153">
        <f t="shared" si="264"/>
        <v>6.0738035928879723</v>
      </c>
      <c r="BA144" s="147">
        <f t="shared" si="294"/>
        <v>3.4876336995076449</v>
      </c>
      <c r="BB144" s="147">
        <f t="shared" si="295"/>
        <v>2.1428788100039453</v>
      </c>
      <c r="BC144" s="5">
        <f t="shared" si="258"/>
        <v>0.11317774916876473</v>
      </c>
      <c r="BD144" s="147">
        <f t="shared" si="296"/>
        <v>8.6191004184265854</v>
      </c>
      <c r="BF144" s="153">
        <f t="shared" si="265"/>
        <v>8.1988318475002361E-2</v>
      </c>
      <c r="BG144" s="153">
        <f t="shared" si="261"/>
        <v>0.11994807526712543</v>
      </c>
      <c r="BI144" s="463">
        <f t="shared" si="236"/>
        <v>2.3527295282254447E-3</v>
      </c>
      <c r="BJ144" s="463">
        <f t="shared" si="237"/>
        <v>1.2471887523683186E-2</v>
      </c>
      <c r="BK144" s="463">
        <f t="shared" si="238"/>
        <v>4.3749999999999995E-3</v>
      </c>
      <c r="BL144" s="463">
        <f t="shared" si="239"/>
        <v>1.4035392000000001E-2</v>
      </c>
      <c r="BM144">
        <f t="shared" si="240"/>
        <v>3.7699999999999999E-3</v>
      </c>
      <c r="BN144">
        <f t="shared" si="297"/>
        <v>6.9999999999999999E-6</v>
      </c>
      <c r="BO144" s="463">
        <f t="shared" si="298"/>
        <v>3.7345838567463985E-2</v>
      </c>
      <c r="BP144" s="147">
        <f t="shared" si="243"/>
        <v>37.005009051908637</v>
      </c>
      <c r="BQ144" s="463">
        <f t="shared" si="299"/>
        <v>2.3980081140860025E-2</v>
      </c>
      <c r="BT144" s="147">
        <f t="shared" si="245"/>
        <v>23.980081140860026</v>
      </c>
      <c r="BU144" s="463">
        <f t="shared" si="246"/>
        <v>6.7220843663584138E-3</v>
      </c>
      <c r="BV144" s="463">
        <f t="shared" si="247"/>
        <v>1.4387540760287988E-2</v>
      </c>
      <c r="BW144" s="463">
        <f t="shared" si="248"/>
        <v>0</v>
      </c>
      <c r="BX144" s="463"/>
      <c r="BY144" s="463">
        <f t="shared" si="249"/>
        <v>1.1082553191489363E-2</v>
      </c>
      <c r="BZ144" s="147">
        <f t="shared" si="250"/>
        <v>32.19217831813576</v>
      </c>
      <c r="CA144" s="153">
        <f t="shared" si="251"/>
        <v>9.3177268510904424E-2</v>
      </c>
      <c r="CB144" s="5">
        <f t="shared" si="252"/>
        <v>0.51</v>
      </c>
      <c r="CC144" s="153">
        <f t="shared" si="253"/>
        <v>0.8455225795545378</v>
      </c>
      <c r="CD144" s="5">
        <f t="shared" si="254"/>
        <v>84.552257955453783</v>
      </c>
      <c r="CG144" s="59">
        <f t="shared" si="300"/>
        <v>-50</v>
      </c>
      <c r="CH144">
        <f t="shared" si="301"/>
        <v>-50</v>
      </c>
    </row>
    <row r="145" spans="5:86" x14ac:dyDescent="0.25">
      <c r="E145" s="150">
        <v>35</v>
      </c>
      <c r="F145" s="191">
        <f t="shared" si="302"/>
        <v>3.4999999999999996E-2</v>
      </c>
      <c r="G145" s="191"/>
      <c r="H145" s="191">
        <f t="shared" si="266"/>
        <v>0.52499999999999991</v>
      </c>
      <c r="I145" s="472">
        <f t="shared" si="267"/>
        <v>13</v>
      </c>
      <c r="J145" s="386">
        <f t="shared" si="268"/>
        <v>15.32</v>
      </c>
      <c r="K145" s="386">
        <f t="shared" si="269"/>
        <v>28.32</v>
      </c>
      <c r="L145" s="386"/>
      <c r="M145" s="191">
        <f t="shared" si="270"/>
        <v>0.54096045197740117</v>
      </c>
      <c r="N145" s="152">
        <f t="shared" si="271"/>
        <v>2.3997235845654528</v>
      </c>
      <c r="O145" s="152">
        <f t="shared" si="262"/>
        <v>0.52499999999999991</v>
      </c>
      <c r="P145" s="191">
        <f t="shared" si="272"/>
        <v>0.15998157230436352</v>
      </c>
      <c r="Q145" s="191">
        <f t="shared" si="273"/>
        <v>15</v>
      </c>
      <c r="R145" s="191"/>
      <c r="S145" s="152">
        <f t="shared" si="274"/>
        <v>112.3940504120111</v>
      </c>
      <c r="T145" s="152">
        <f t="shared" si="275"/>
        <v>15</v>
      </c>
      <c r="U145" s="191">
        <f t="shared" si="276"/>
        <v>0.16589676641895956</v>
      </c>
      <c r="V145" s="191">
        <f t="shared" si="277"/>
        <v>0.59978061705316144</v>
      </c>
      <c r="W145" s="191">
        <f t="shared" si="278"/>
        <v>0.50895222073701696</v>
      </c>
      <c r="X145" s="175">
        <f t="shared" si="279"/>
        <v>350</v>
      </c>
      <c r="Y145" s="386">
        <f t="shared" si="215"/>
        <v>350</v>
      </c>
      <c r="AA145" s="191">
        <f t="shared" si="280"/>
        <v>0.42750674016451157</v>
      </c>
      <c r="AB145" s="153">
        <f t="shared" si="281"/>
        <v>1.3115415657788541</v>
      </c>
      <c r="AC145" s="153">
        <f t="shared" si="282"/>
        <v>9.8121250390866027E-2</v>
      </c>
      <c r="AD145" s="153"/>
      <c r="AE145" s="153">
        <f t="shared" si="283"/>
        <v>0.46018276762402083</v>
      </c>
      <c r="AF145" s="317">
        <f t="shared" si="284"/>
        <v>1014.0898345153665</v>
      </c>
      <c r="AG145" s="463">
        <f t="shared" si="285"/>
        <v>1.2079797650130546E-2</v>
      </c>
      <c r="AI145" s="153">
        <f t="shared" si="286"/>
        <v>0.25532624103625173</v>
      </c>
      <c r="AJ145" s="153">
        <f t="shared" si="287"/>
        <v>0.25532624103625173</v>
      </c>
      <c r="AK145" s="153">
        <f t="shared" si="288"/>
        <v>1.2702174940241677</v>
      </c>
      <c r="AM145" s="317">
        <f t="shared" si="289"/>
        <v>34.999999999999993</v>
      </c>
      <c r="AN145" s="147">
        <f t="shared" si="290"/>
        <v>350</v>
      </c>
      <c r="AP145" s="147">
        <f t="shared" si="291"/>
        <v>34.999999999999993</v>
      </c>
      <c r="AQ145" s="147">
        <f t="shared" si="292"/>
        <v>350</v>
      </c>
      <c r="AS145" s="5">
        <f t="shared" si="263"/>
        <v>2.8571428571428572</v>
      </c>
      <c r="AT145" s="5">
        <f t="shared" si="293"/>
        <v>0.9231025637464485</v>
      </c>
      <c r="AU145" s="5">
        <f t="shared" si="230"/>
        <v>1.9340402933964087</v>
      </c>
      <c r="AV145" s="5"/>
      <c r="AW145" s="153">
        <f t="shared" si="231"/>
        <v>0.32308589731125698</v>
      </c>
      <c r="AX145" s="153">
        <f t="shared" si="259"/>
        <v>0.5361999999999999</v>
      </c>
      <c r="AY145" s="153">
        <f t="shared" si="260"/>
        <v>8.6416966671972031E-2</v>
      </c>
      <c r="AZ145" s="153">
        <f t="shared" si="264"/>
        <v>6.2048000601010198</v>
      </c>
      <c r="BA145" s="147">
        <f t="shared" si="294"/>
        <v>3.4876336995076449</v>
      </c>
      <c r="BB145" s="147">
        <f t="shared" si="295"/>
        <v>2.2676959708086786</v>
      </c>
      <c r="BC145" s="5">
        <f t="shared" si="258"/>
        <v>0.11571181242542615</v>
      </c>
      <c r="BD145" s="147">
        <f t="shared" si="296"/>
        <v>8.813001316522346</v>
      </c>
      <c r="BF145" s="153">
        <f t="shared" si="265"/>
        <v>8.3790315346271349E-2</v>
      </c>
      <c r="BG145" s="153">
        <f t="shared" si="261"/>
        <v>0.12128346757935771</v>
      </c>
      <c r="BI145" s="463">
        <f t="shared" si="236"/>
        <v>2.4572859310396586E-3</v>
      </c>
      <c r="BJ145" s="463">
        <f t="shared" si="237"/>
        <v>1.2653968505756636E-2</v>
      </c>
      <c r="BK145" s="463">
        <f t="shared" si="238"/>
        <v>4.3749999999999995E-3</v>
      </c>
      <c r="BL145" s="463">
        <f t="shared" si="239"/>
        <v>1.4035392000000001E-2</v>
      </c>
      <c r="BM145">
        <f t="shared" si="240"/>
        <v>3.7699999999999999E-3</v>
      </c>
      <c r="BN145">
        <f t="shared" si="297"/>
        <v>6.9999999999999999E-6</v>
      </c>
      <c r="BO145" s="463">
        <f t="shared" si="298"/>
        <v>3.764744823301748E-2</v>
      </c>
      <c r="BP145" s="147">
        <f t="shared" si="243"/>
        <v>37.291646436796299</v>
      </c>
      <c r="BQ145" s="463">
        <f t="shared" si="299"/>
        <v>2.4608195144167858E-2</v>
      </c>
      <c r="BT145" s="147">
        <f t="shared" si="245"/>
        <v>24.608195144167858</v>
      </c>
      <c r="BU145" s="463">
        <f t="shared" si="246"/>
        <v>7.020816945827596E-3</v>
      </c>
      <c r="BV145" s="463">
        <f t="shared" si="247"/>
        <v>1.4709679508073111E-2</v>
      </c>
      <c r="BW145" s="463">
        <f t="shared" si="248"/>
        <v>0</v>
      </c>
      <c r="BX145" s="463"/>
      <c r="BY145" s="463">
        <f t="shared" si="249"/>
        <v>1.1408510638297873E-2</v>
      </c>
      <c r="BZ145" s="147">
        <f t="shared" si="250"/>
        <v>33.139007092198582</v>
      </c>
      <c r="CA145" s="153">
        <f t="shared" si="251"/>
        <v>9.5038848673162729E-2</v>
      </c>
      <c r="CB145" s="5">
        <f t="shared" si="252"/>
        <v>0.52499999999999991</v>
      </c>
      <c r="CC145" s="153">
        <f t="shared" si="253"/>
        <v>0.84672113872132559</v>
      </c>
      <c r="CD145" s="5">
        <f t="shared" si="254"/>
        <v>84.672113872132556</v>
      </c>
      <c r="CG145" s="59">
        <f t="shared" si="300"/>
        <v>-50</v>
      </c>
      <c r="CH145">
        <f t="shared" si="301"/>
        <v>-50</v>
      </c>
    </row>
    <row r="146" spans="5:86" x14ac:dyDescent="0.25">
      <c r="E146" s="150">
        <v>36</v>
      </c>
      <c r="F146" s="191">
        <f t="shared" si="302"/>
        <v>3.5999999999999997E-2</v>
      </c>
      <c r="G146" s="191"/>
      <c r="H146" s="191">
        <f t="shared" si="266"/>
        <v>0.53999999999999992</v>
      </c>
      <c r="I146" s="472">
        <f t="shared" si="267"/>
        <v>13</v>
      </c>
      <c r="J146" s="386">
        <f t="shared" si="268"/>
        <v>15.32</v>
      </c>
      <c r="K146" s="386">
        <f t="shared" si="269"/>
        <v>28.32</v>
      </c>
      <c r="L146" s="386"/>
      <c r="M146" s="191">
        <f t="shared" si="270"/>
        <v>0.54096045197740117</v>
      </c>
      <c r="N146" s="152">
        <f t="shared" si="271"/>
        <v>2.3997235845654528</v>
      </c>
      <c r="O146" s="152">
        <f t="shared" si="262"/>
        <v>0.53999999999999992</v>
      </c>
      <c r="P146" s="191">
        <f t="shared" si="272"/>
        <v>0.15998157230436352</v>
      </c>
      <c r="Q146" s="191">
        <f t="shared" si="273"/>
        <v>15</v>
      </c>
      <c r="R146" s="191"/>
      <c r="S146" s="152">
        <f t="shared" si="274"/>
        <v>108.91308370009422</v>
      </c>
      <c r="T146" s="152">
        <f t="shared" si="275"/>
        <v>15</v>
      </c>
      <c r="U146" s="191">
        <f t="shared" si="276"/>
        <v>0.17063667403092986</v>
      </c>
      <c r="V146" s="191">
        <f t="shared" si="277"/>
        <v>0.61691720611182332</v>
      </c>
      <c r="W146" s="191">
        <f t="shared" si="278"/>
        <v>0.52349371275807455</v>
      </c>
      <c r="X146" s="175">
        <f t="shared" si="279"/>
        <v>350</v>
      </c>
      <c r="Y146" s="386">
        <f t="shared" si="215"/>
        <v>350</v>
      </c>
      <c r="AA146" s="191">
        <f t="shared" si="280"/>
        <v>0.42750674016451157</v>
      </c>
      <c r="AB146" s="153">
        <f t="shared" si="281"/>
        <v>1.3115415657788541</v>
      </c>
      <c r="AC146" s="153">
        <f t="shared" si="282"/>
        <v>9.8121250390866027E-2</v>
      </c>
      <c r="AD146" s="153"/>
      <c r="AE146" s="153">
        <f t="shared" si="283"/>
        <v>0.46018276762402083</v>
      </c>
      <c r="AF146" s="317">
        <f t="shared" si="284"/>
        <v>1043.0638297872342</v>
      </c>
      <c r="AG146" s="463">
        <f t="shared" si="285"/>
        <v>1.2079797650130546E-2</v>
      </c>
      <c r="AI146" s="153">
        <f t="shared" si="286"/>
        <v>0.2589480707467523</v>
      </c>
      <c r="AJ146" s="153">
        <f t="shared" si="287"/>
        <v>0.2589480707467523</v>
      </c>
      <c r="AK146" s="153">
        <f t="shared" si="288"/>
        <v>1.2726320471645014</v>
      </c>
      <c r="AM146" s="317">
        <f t="shared" si="289"/>
        <v>36</v>
      </c>
      <c r="AN146" s="147">
        <f t="shared" si="290"/>
        <v>350</v>
      </c>
      <c r="AP146" s="147">
        <f t="shared" si="291"/>
        <v>36</v>
      </c>
      <c r="AQ146" s="147">
        <f t="shared" si="292"/>
        <v>350</v>
      </c>
      <c r="AS146" s="5">
        <f t="shared" si="263"/>
        <v>2.8571428571428572</v>
      </c>
      <c r="AT146" s="5">
        <f t="shared" si="293"/>
        <v>0.9361968711613351</v>
      </c>
      <c r="AU146" s="5">
        <f t="shared" si="230"/>
        <v>1.9209459859815221</v>
      </c>
      <c r="AV146" s="5"/>
      <c r="AW146" s="153">
        <f t="shared" si="231"/>
        <v>0.32766890490646727</v>
      </c>
      <c r="AX146" s="153">
        <f t="shared" si="259"/>
        <v>0.5515199999999999</v>
      </c>
      <c r="AY146" s="153">
        <f t="shared" si="260"/>
        <v>8.7049419988760784E-2</v>
      </c>
      <c r="AZ146" s="153">
        <f t="shared" si="264"/>
        <v>6.3357113702906727</v>
      </c>
      <c r="BA146" s="147">
        <f t="shared" si="294"/>
        <v>3.4876336995076449</v>
      </c>
      <c r="BB146" s="147">
        <f t="shared" si="295"/>
        <v>2.3960440638106508</v>
      </c>
      <c r="BC146" s="5">
        <f t="shared" si="258"/>
        <v>0.11821206067578595</v>
      </c>
      <c r="BD146" s="147">
        <f t="shared" si="296"/>
        <v>9.0043660891454866</v>
      </c>
      <c r="BF146" s="153">
        <f t="shared" si="265"/>
        <v>8.5579484714578394E-2</v>
      </c>
      <c r="BG146" s="153">
        <f t="shared" si="261"/>
        <v>0.1225867838600159</v>
      </c>
      <c r="BI146" s="463">
        <f t="shared" si="236"/>
        <v>2.5633468714044648E-3</v>
      </c>
      <c r="BJ146" s="463">
        <f t="shared" si="237"/>
        <v>1.2833466386209042E-2</v>
      </c>
      <c r="BK146" s="463">
        <f t="shared" si="238"/>
        <v>4.3749999999999995E-3</v>
      </c>
      <c r="BL146" s="463">
        <f t="shared" si="239"/>
        <v>1.4035392000000001E-2</v>
      </c>
      <c r="BM146">
        <f t="shared" si="240"/>
        <v>3.7699999999999999E-3</v>
      </c>
      <c r="BN146">
        <f t="shared" si="297"/>
        <v>6.9999999999999999E-6</v>
      </c>
      <c r="BO146" s="463">
        <f t="shared" si="298"/>
        <v>3.7948204213999102E-2</v>
      </c>
      <c r="BP146" s="147">
        <f t="shared" si="243"/>
        <v>37.577205257613507</v>
      </c>
      <c r="BQ146" s="463">
        <f t="shared" si="299"/>
        <v>2.5233024956936682E-2</v>
      </c>
      <c r="BT146" s="147">
        <f t="shared" si="245"/>
        <v>25.233024956936681</v>
      </c>
      <c r="BU146" s="463">
        <f t="shared" si="246"/>
        <v>7.3238482040127572E-3</v>
      </c>
      <c r="BV146" s="463">
        <f t="shared" si="247"/>
        <v>1.5027519577142254E-2</v>
      </c>
      <c r="BW146" s="463">
        <f t="shared" si="248"/>
        <v>0</v>
      </c>
      <c r="BX146" s="463"/>
      <c r="BY146" s="463">
        <f t="shared" si="249"/>
        <v>1.1734468085106382E-2</v>
      </c>
      <c r="BZ146" s="147">
        <f t="shared" si="250"/>
        <v>34.085835866261391</v>
      </c>
      <c r="CA146" s="153">
        <f t="shared" si="251"/>
        <v>9.6896066080811583E-2</v>
      </c>
      <c r="CB146" s="5">
        <f t="shared" si="252"/>
        <v>0.53999999999999992</v>
      </c>
      <c r="CC146" s="153">
        <f t="shared" si="253"/>
        <v>0.84786204336750126</v>
      </c>
      <c r="CD146" s="5">
        <f t="shared" si="254"/>
        <v>84.786204336750131</v>
      </c>
      <c r="CG146" s="59">
        <f t="shared" si="300"/>
        <v>-50</v>
      </c>
      <c r="CH146">
        <f t="shared" si="301"/>
        <v>-50</v>
      </c>
    </row>
    <row r="147" spans="5:86" x14ac:dyDescent="0.25">
      <c r="E147" s="150">
        <v>37</v>
      </c>
      <c r="F147" s="191">
        <f t="shared" si="302"/>
        <v>3.6999999999999998E-2</v>
      </c>
      <c r="G147" s="191"/>
      <c r="H147" s="191">
        <f t="shared" si="266"/>
        <v>0.55499999999999994</v>
      </c>
      <c r="I147" s="472">
        <f t="shared" si="267"/>
        <v>13</v>
      </c>
      <c r="J147" s="386">
        <f t="shared" si="268"/>
        <v>15.32</v>
      </c>
      <c r="K147" s="386">
        <f t="shared" si="269"/>
        <v>28.32</v>
      </c>
      <c r="L147" s="386"/>
      <c r="M147" s="191">
        <f t="shared" si="270"/>
        <v>0.54096045197740117</v>
      </c>
      <c r="N147" s="152">
        <f t="shared" si="271"/>
        <v>2.3997235845654528</v>
      </c>
      <c r="O147" s="152">
        <f t="shared" si="262"/>
        <v>0.55499999999999994</v>
      </c>
      <c r="P147" s="191">
        <f t="shared" si="272"/>
        <v>0.15998157230436352</v>
      </c>
      <c r="Q147" s="191">
        <f t="shared" si="273"/>
        <v>15</v>
      </c>
      <c r="R147" s="191"/>
      <c r="S147" s="152">
        <f t="shared" si="274"/>
        <v>105.62034846183263</v>
      </c>
      <c r="T147" s="152">
        <f t="shared" si="275"/>
        <v>15</v>
      </c>
      <c r="U147" s="191">
        <f t="shared" si="276"/>
        <v>0.17537658164290013</v>
      </c>
      <c r="V147" s="191">
        <f t="shared" si="277"/>
        <v>0.6340537951704851</v>
      </c>
      <c r="W147" s="191">
        <f t="shared" si="278"/>
        <v>0.53803520477913225</v>
      </c>
      <c r="X147" s="175">
        <f t="shared" si="279"/>
        <v>350</v>
      </c>
      <c r="Y147" s="386">
        <f t="shared" si="215"/>
        <v>350</v>
      </c>
      <c r="AA147" s="191">
        <f t="shared" si="280"/>
        <v>0.42750674016451157</v>
      </c>
      <c r="AB147" s="153">
        <f t="shared" si="281"/>
        <v>1.3115415657788541</v>
      </c>
      <c r="AC147" s="153">
        <f t="shared" si="282"/>
        <v>9.8121250390866027E-2</v>
      </c>
      <c r="AD147" s="153"/>
      <c r="AE147" s="153">
        <f t="shared" si="283"/>
        <v>0.46018276762402083</v>
      </c>
      <c r="AF147" s="317">
        <f t="shared" si="284"/>
        <v>1072.0378250591018</v>
      </c>
      <c r="AG147" s="463">
        <f t="shared" si="285"/>
        <v>1.2079797650130546E-2</v>
      </c>
      <c r="AI147" s="153">
        <f t="shared" si="286"/>
        <v>0.26251993700522624</v>
      </c>
      <c r="AJ147" s="153">
        <f t="shared" si="287"/>
        <v>0.26251993700522624</v>
      </c>
      <c r="AK147" s="153">
        <f t="shared" si="288"/>
        <v>1.2750132913368175</v>
      </c>
      <c r="AM147" s="317">
        <f t="shared" si="289"/>
        <v>37</v>
      </c>
      <c r="AN147" s="147">
        <f t="shared" si="290"/>
        <v>350</v>
      </c>
      <c r="AP147" s="147">
        <f t="shared" si="291"/>
        <v>37</v>
      </c>
      <c r="AQ147" s="147">
        <f t="shared" si="292"/>
        <v>350</v>
      </c>
      <c r="AS147" s="5">
        <f t="shared" si="263"/>
        <v>2.8571428571428572</v>
      </c>
      <c r="AT147" s="5">
        <f t="shared" si="293"/>
        <v>0.94911054148043339</v>
      </c>
      <c r="AU147" s="5">
        <f t="shared" si="230"/>
        <v>1.9080323156624237</v>
      </c>
      <c r="AV147" s="5"/>
      <c r="AW147" s="153">
        <f t="shared" si="231"/>
        <v>0.33218868951815167</v>
      </c>
      <c r="AX147" s="153">
        <f t="shared" si="259"/>
        <v>0.5668399999999999</v>
      </c>
      <c r="AY147" s="153">
        <f t="shared" si="260"/>
        <v>8.7656891579536211E-2</v>
      </c>
      <c r="AZ147" s="153">
        <f t="shared" si="264"/>
        <v>6.4665765553147967</v>
      </c>
      <c r="BA147" s="147">
        <f t="shared" si="294"/>
        <v>3.4876336995076449</v>
      </c>
      <c r="BB147" s="147">
        <f t="shared" si="295"/>
        <v>2.5279230890098621</v>
      </c>
      <c r="BC147" s="5">
        <f t="shared" si="258"/>
        <v>0.1206789669735208</v>
      </c>
      <c r="BD147" s="147">
        <f t="shared" si="296"/>
        <v>9.1932302153217531</v>
      </c>
      <c r="BF147" s="153">
        <f t="shared" si="265"/>
        <v>8.7356270551804838E-2</v>
      </c>
      <c r="BG147" s="153">
        <f t="shared" si="261"/>
        <v>0.12385927944118355</v>
      </c>
      <c r="BI147" s="463">
        <f t="shared" si="236"/>
        <v>2.6708913016520439E-3</v>
      </c>
      <c r="BJ147" s="463">
        <f t="shared" si="237"/>
        <v>1.3010488077979011E-2</v>
      </c>
      <c r="BK147" s="463">
        <f t="shared" si="238"/>
        <v>4.3749999999999995E-3</v>
      </c>
      <c r="BL147" s="463">
        <f t="shared" si="239"/>
        <v>1.4035392000000001E-2</v>
      </c>
      <c r="BM147">
        <f t="shared" si="240"/>
        <v>3.7699999999999999E-3</v>
      </c>
      <c r="BN147">
        <f t="shared" si="297"/>
        <v>6.9999999999999999E-6</v>
      </c>
      <c r="BO147" s="463">
        <f t="shared" si="298"/>
        <v>3.8248189627016656E-2</v>
      </c>
      <c r="BP147" s="147">
        <f t="shared" si="243"/>
        <v>37.861771379631058</v>
      </c>
      <c r="BQ147" s="463">
        <f t="shared" si="299"/>
        <v>2.5854616523218545E-2</v>
      </c>
      <c r="BT147" s="147">
        <f t="shared" si="245"/>
        <v>25.854616523218546</v>
      </c>
      <c r="BU147" s="463">
        <f t="shared" si="246"/>
        <v>7.6311180047201254E-3</v>
      </c>
      <c r="BV147" s="463">
        <f t="shared" si="247"/>
        <v>1.5341121103689194E-2</v>
      </c>
      <c r="BW147" s="463">
        <f t="shared" si="248"/>
        <v>0</v>
      </c>
      <c r="BX147" s="463"/>
      <c r="BY147" s="463">
        <f t="shared" si="249"/>
        <v>1.2060425531914895E-2</v>
      </c>
      <c r="BZ147" s="147">
        <f t="shared" si="250"/>
        <v>35.032664640324214</v>
      </c>
      <c r="CA147" s="153">
        <f t="shared" si="251"/>
        <v>9.8749052543173815E-2</v>
      </c>
      <c r="CB147" s="5">
        <f t="shared" si="252"/>
        <v>0.55499999999999994</v>
      </c>
      <c r="CC147" s="153">
        <f t="shared" si="253"/>
        <v>0.84894960511372619</v>
      </c>
      <c r="CD147" s="5">
        <f t="shared" si="254"/>
        <v>84.894960511372616</v>
      </c>
      <c r="CG147" s="59">
        <f t="shared" si="300"/>
        <v>-50</v>
      </c>
      <c r="CH147">
        <f t="shared" si="301"/>
        <v>-50</v>
      </c>
    </row>
    <row r="148" spans="5:86" x14ac:dyDescent="0.25">
      <c r="E148" s="150">
        <v>38</v>
      </c>
      <c r="F148" s="191">
        <f t="shared" si="302"/>
        <v>3.8000000000000006E-2</v>
      </c>
      <c r="G148" s="191"/>
      <c r="H148" s="191">
        <f t="shared" si="266"/>
        <v>0.57000000000000006</v>
      </c>
      <c r="I148" s="472">
        <f t="shared" si="267"/>
        <v>13</v>
      </c>
      <c r="J148" s="386">
        <f t="shared" si="268"/>
        <v>15.32</v>
      </c>
      <c r="K148" s="386">
        <f t="shared" si="269"/>
        <v>28.32</v>
      </c>
      <c r="L148" s="386"/>
      <c r="M148" s="191">
        <f t="shared" si="270"/>
        <v>0.54096045197740117</v>
      </c>
      <c r="N148" s="152">
        <f t="shared" si="271"/>
        <v>2.3997235845654528</v>
      </c>
      <c r="O148" s="152">
        <f t="shared" si="262"/>
        <v>0.57000000000000006</v>
      </c>
      <c r="P148" s="191">
        <f t="shared" si="272"/>
        <v>0.15998157230436352</v>
      </c>
      <c r="Q148" s="191">
        <f t="shared" si="273"/>
        <v>15</v>
      </c>
      <c r="R148" s="191"/>
      <c r="S148" s="152">
        <f t="shared" si="274"/>
        <v>102.50098498286692</v>
      </c>
      <c r="T148" s="152">
        <f t="shared" si="275"/>
        <v>15</v>
      </c>
      <c r="U148" s="191">
        <f t="shared" si="276"/>
        <v>0.18011648925487045</v>
      </c>
      <c r="V148" s="191">
        <f t="shared" si="277"/>
        <v>0.65119038422914699</v>
      </c>
      <c r="W148" s="191">
        <f t="shared" si="278"/>
        <v>0.55257669680018995</v>
      </c>
      <c r="X148" s="175">
        <f t="shared" si="279"/>
        <v>350</v>
      </c>
      <c r="Y148" s="386">
        <f t="shared" si="215"/>
        <v>350</v>
      </c>
      <c r="AA148" s="191">
        <f t="shared" si="280"/>
        <v>0.42750674016451157</v>
      </c>
      <c r="AB148" s="153">
        <f t="shared" si="281"/>
        <v>1.3115415657788541</v>
      </c>
      <c r="AC148" s="153">
        <f t="shared" si="282"/>
        <v>9.8121250390866027E-2</v>
      </c>
      <c r="AD148" s="153"/>
      <c r="AE148" s="153">
        <f t="shared" si="283"/>
        <v>0.46018276762402083</v>
      </c>
      <c r="AF148" s="317">
        <f t="shared" si="284"/>
        <v>1101.0118203309698</v>
      </c>
      <c r="AG148" s="463">
        <f t="shared" si="285"/>
        <v>1.2079797650130546E-2</v>
      </c>
      <c r="AI148" s="153">
        <f t="shared" si="286"/>
        <v>0.26604385222551358</v>
      </c>
      <c r="AJ148" s="153">
        <f t="shared" si="287"/>
        <v>0.26604385222551358</v>
      </c>
      <c r="AK148" s="153">
        <f t="shared" si="288"/>
        <v>1.2773625681503424</v>
      </c>
      <c r="AM148" s="317">
        <f t="shared" si="289"/>
        <v>38.000000000000007</v>
      </c>
      <c r="AN148" s="147">
        <f t="shared" si="290"/>
        <v>350</v>
      </c>
      <c r="AP148" s="147">
        <f t="shared" si="291"/>
        <v>38.000000000000007</v>
      </c>
      <c r="AQ148" s="147">
        <f t="shared" si="292"/>
        <v>350</v>
      </c>
      <c r="AS148" s="5">
        <f t="shared" si="263"/>
        <v>2.8571428571428572</v>
      </c>
      <c r="AT148" s="5">
        <f t="shared" si="293"/>
        <v>0.96185085035377971</v>
      </c>
      <c r="AU148" s="5">
        <f t="shared" si="230"/>
        <v>1.8952920067890775</v>
      </c>
      <c r="AV148" s="5"/>
      <c r="AW148" s="153">
        <f t="shared" si="231"/>
        <v>0.33664779762382291</v>
      </c>
      <c r="AX148" s="153">
        <f t="shared" si="259"/>
        <v>0.58216000000000023</v>
      </c>
      <c r="AY148" s="153">
        <f t="shared" si="260"/>
        <v>8.8240387651218319E-2</v>
      </c>
      <c r="AZ148" s="153">
        <f t="shared" si="264"/>
        <v>6.5974324852363955</v>
      </c>
      <c r="BA148" s="147">
        <f t="shared" si="294"/>
        <v>3.4876336995076449</v>
      </c>
      <c r="BB148" s="147">
        <f t="shared" si="295"/>
        <v>2.6633330464063123</v>
      </c>
      <c r="BC148" s="5">
        <f t="shared" si="258"/>
        <v>0.12311298505638453</v>
      </c>
      <c r="BD148" s="147">
        <f t="shared" si="296"/>
        <v>9.3796277253826865</v>
      </c>
      <c r="BF148" s="153">
        <f t="shared" si="265"/>
        <v>8.9121089912892096E-2</v>
      </c>
      <c r="BG148" s="153">
        <f t="shared" si="261"/>
        <v>0.12510212535525461</v>
      </c>
      <c r="BI148" s="463">
        <f t="shared" si="236"/>
        <v>2.7798990335416288E-3</v>
      </c>
      <c r="BJ148" s="463">
        <f t="shared" si="237"/>
        <v>1.3185133316296454E-2</v>
      </c>
      <c r="BK148" s="463">
        <f t="shared" si="238"/>
        <v>4.3749999999999995E-3</v>
      </c>
      <c r="BL148" s="463">
        <f t="shared" si="239"/>
        <v>1.4035392000000001E-2</v>
      </c>
      <c r="BM148">
        <f t="shared" si="240"/>
        <v>3.7699999999999999E-3</v>
      </c>
      <c r="BN148">
        <f t="shared" si="297"/>
        <v>6.9999999999999999E-6</v>
      </c>
      <c r="BO148" s="463">
        <f t="shared" si="298"/>
        <v>3.8547481389971439E-2</v>
      </c>
      <c r="BP148" s="147">
        <f t="shared" si="243"/>
        <v>38.145424349838088</v>
      </c>
      <c r="BQ148" s="463">
        <f t="shared" si="299"/>
        <v>2.6473013911059006E-2</v>
      </c>
      <c r="BT148" s="147">
        <f t="shared" si="245"/>
        <v>26.473013911059006</v>
      </c>
      <c r="BU148" s="463">
        <f t="shared" si="246"/>
        <v>7.9425686672617967E-3</v>
      </c>
      <c r="BV148" s="463">
        <f t="shared" si="247"/>
        <v>1.5650541768401839E-2</v>
      </c>
      <c r="BW148" s="463">
        <f t="shared" si="248"/>
        <v>0</v>
      </c>
      <c r="BX148" s="463"/>
      <c r="BY148" s="463">
        <f t="shared" si="249"/>
        <v>1.2386382978723411E-2</v>
      </c>
      <c r="BZ148" s="147">
        <f t="shared" si="250"/>
        <v>35.979493414387044</v>
      </c>
      <c r="CA148" s="153">
        <f t="shared" si="251"/>
        <v>0.10059793167528414</v>
      </c>
      <c r="CB148" s="5">
        <f t="shared" si="252"/>
        <v>0.57000000000000006</v>
      </c>
      <c r="CC148" s="153">
        <f t="shared" si="253"/>
        <v>0.84998770958930503</v>
      </c>
      <c r="CD148" s="5">
        <f t="shared" si="254"/>
        <v>84.998770958930507</v>
      </c>
      <c r="CG148" s="59">
        <f t="shared" si="300"/>
        <v>-50</v>
      </c>
      <c r="CH148">
        <f t="shared" si="301"/>
        <v>-50</v>
      </c>
    </row>
    <row r="149" spans="5:86" x14ac:dyDescent="0.25">
      <c r="E149" s="150">
        <v>39</v>
      </c>
      <c r="F149" s="191">
        <f t="shared" si="302"/>
        <v>3.9000000000000007E-2</v>
      </c>
      <c r="G149" s="191"/>
      <c r="H149" s="191">
        <f t="shared" si="266"/>
        <v>0.58500000000000008</v>
      </c>
      <c r="I149" s="472">
        <f t="shared" si="267"/>
        <v>13</v>
      </c>
      <c r="J149" s="386">
        <f t="shared" si="268"/>
        <v>15.32</v>
      </c>
      <c r="K149" s="386">
        <f t="shared" si="269"/>
        <v>28.32</v>
      </c>
      <c r="L149" s="386"/>
      <c r="M149" s="191">
        <f t="shared" si="270"/>
        <v>0.54096045197740117</v>
      </c>
      <c r="N149" s="152">
        <f t="shared" si="271"/>
        <v>2.3997235845654528</v>
      </c>
      <c r="O149" s="152">
        <f t="shared" si="262"/>
        <v>0.58500000000000008</v>
      </c>
      <c r="P149" s="191">
        <f t="shared" si="272"/>
        <v>0.15998157230436352</v>
      </c>
      <c r="Q149" s="191">
        <f t="shared" si="273"/>
        <v>15</v>
      </c>
      <c r="R149" s="191"/>
      <c r="S149" s="152">
        <f t="shared" si="274"/>
        <v>99.541657630152741</v>
      </c>
      <c r="T149" s="152">
        <f t="shared" si="275"/>
        <v>15</v>
      </c>
      <c r="U149" s="191">
        <f t="shared" si="276"/>
        <v>0.18485639686684072</v>
      </c>
      <c r="V149" s="191">
        <f t="shared" si="277"/>
        <v>0.66832697328780866</v>
      </c>
      <c r="W149" s="191">
        <f t="shared" si="278"/>
        <v>0.56711818882124765</v>
      </c>
      <c r="X149" s="175">
        <f t="shared" si="279"/>
        <v>350</v>
      </c>
      <c r="Y149" s="386">
        <f t="shared" si="215"/>
        <v>350</v>
      </c>
      <c r="AA149" s="191">
        <f t="shared" si="280"/>
        <v>0.42750674016451157</v>
      </c>
      <c r="AB149" s="153">
        <f t="shared" si="281"/>
        <v>1.3115415657788541</v>
      </c>
      <c r="AC149" s="153">
        <f t="shared" si="282"/>
        <v>9.8121250390866027E-2</v>
      </c>
      <c r="AD149" s="153"/>
      <c r="AE149" s="153">
        <f t="shared" si="283"/>
        <v>0.46018276762402083</v>
      </c>
      <c r="AF149" s="317">
        <f t="shared" si="284"/>
        <v>1129.9858156028374</v>
      </c>
      <c r="AG149" s="463">
        <f t="shared" si="285"/>
        <v>1.2079797650130546E-2</v>
      </c>
      <c r="AI149" s="153">
        <f t="shared" si="286"/>
        <v>0.26952169725043251</v>
      </c>
      <c r="AJ149" s="153">
        <f t="shared" si="287"/>
        <v>0.26952169725043251</v>
      </c>
      <c r="AK149" s="153">
        <f t="shared" si="288"/>
        <v>1.2796811315002883</v>
      </c>
      <c r="AM149" s="317">
        <f t="shared" si="289"/>
        <v>39.000000000000007</v>
      </c>
      <c r="AN149" s="147">
        <f t="shared" si="290"/>
        <v>350</v>
      </c>
      <c r="AP149" s="147">
        <f t="shared" si="291"/>
        <v>39.000000000000007</v>
      </c>
      <c r="AQ149" s="147">
        <f t="shared" si="292"/>
        <v>350</v>
      </c>
      <c r="AS149" s="5">
        <f t="shared" si="263"/>
        <v>2.8571428571428572</v>
      </c>
      <c r="AT149" s="5">
        <f t="shared" si="293"/>
        <v>0.97442459775156376</v>
      </c>
      <c r="AU149" s="5">
        <f t="shared" si="230"/>
        <v>1.8827182593912934</v>
      </c>
      <c r="AV149" s="5"/>
      <c r="AW149" s="153">
        <f t="shared" si="231"/>
        <v>0.3410486092130473</v>
      </c>
      <c r="AX149" s="153">
        <f t="shared" si="259"/>
        <v>0.5974799999999999</v>
      </c>
      <c r="AY149" s="153">
        <f t="shared" si="260"/>
        <v>8.8800848625216242E-2</v>
      </c>
      <c r="AZ149" s="153">
        <f t="shared" si="264"/>
        <v>6.7283140786374993</v>
      </c>
      <c r="BA149" s="147">
        <f t="shared" si="294"/>
        <v>3.4876336995076449</v>
      </c>
      <c r="BB149" s="147">
        <f t="shared" si="295"/>
        <v>2.8022739360000006</v>
      </c>
      <c r="BC149" s="5">
        <f t="shared" si="258"/>
        <v>0.12551455062608624</v>
      </c>
      <c r="BD149" s="147">
        <f t="shared" si="296"/>
        <v>9.5635912969564689</v>
      </c>
      <c r="BF149" s="153">
        <f t="shared" si="265"/>
        <v>9.087433523142413E-2</v>
      </c>
      <c r="BG149" s="153">
        <f t="shared" si="261"/>
        <v>0.12631641603198168</v>
      </c>
      <c r="BI149" s="463">
        <f t="shared" si="236"/>
        <v>2.8903506813136386E-3</v>
      </c>
      <c r="BJ149" s="463">
        <f t="shared" si="237"/>
        <v>1.3357495315731438E-2</v>
      </c>
      <c r="BK149" s="463">
        <f t="shared" si="238"/>
        <v>4.3749999999999995E-3</v>
      </c>
      <c r="BL149" s="463">
        <f t="shared" si="239"/>
        <v>1.4035392000000001E-2</v>
      </c>
      <c r="BM149">
        <f t="shared" si="240"/>
        <v>3.7699999999999999E-3</v>
      </c>
      <c r="BN149">
        <f t="shared" si="297"/>
        <v>6.9999999999999999E-6</v>
      </c>
      <c r="BO149" s="463">
        <f t="shared" si="298"/>
        <v>3.8846150814240567E-2</v>
      </c>
      <c r="BP149" s="147">
        <f t="shared" si="243"/>
        <v>38.42823799704508</v>
      </c>
      <c r="BQ149" s="463">
        <f t="shared" si="299"/>
        <v>2.7088259436801817E-2</v>
      </c>
      <c r="BT149" s="147">
        <f t="shared" si="245"/>
        <v>27.088259436801817</v>
      </c>
      <c r="BU149" s="463">
        <f t="shared" si="246"/>
        <v>8.2581448037532534E-3</v>
      </c>
      <c r="BV149" s="463">
        <f t="shared" si="247"/>
        <v>1.5955836959164679E-2</v>
      </c>
      <c r="BW149" s="463">
        <f t="shared" si="248"/>
        <v>0</v>
      </c>
      <c r="BX149" s="463"/>
      <c r="BY149" s="463">
        <f t="shared" si="249"/>
        <v>1.2712340425531916E-2</v>
      </c>
      <c r="BZ149" s="147">
        <f t="shared" si="250"/>
        <v>36.926322188449852</v>
      </c>
      <c r="CA149" s="153">
        <f t="shared" si="251"/>
        <v>0.10244281962229675</v>
      </c>
      <c r="CB149" s="5">
        <f t="shared" si="252"/>
        <v>0.58500000000000008</v>
      </c>
      <c r="CC149" s="153">
        <f t="shared" si="253"/>
        <v>0.85097986814585957</v>
      </c>
      <c r="CD149" s="5">
        <f t="shared" si="254"/>
        <v>85.097986814585951</v>
      </c>
      <c r="CG149" s="59">
        <f t="shared" si="300"/>
        <v>-50</v>
      </c>
      <c r="CH149">
        <f t="shared" si="301"/>
        <v>-50</v>
      </c>
    </row>
    <row r="150" spans="5:86" x14ac:dyDescent="0.25">
      <c r="E150" s="150">
        <v>40</v>
      </c>
      <c r="F150" s="191">
        <f t="shared" si="302"/>
        <v>4.0000000000000008E-2</v>
      </c>
      <c r="G150" s="191"/>
      <c r="H150" s="191">
        <f t="shared" si="266"/>
        <v>0.60000000000000009</v>
      </c>
      <c r="I150" s="472">
        <f t="shared" si="267"/>
        <v>13</v>
      </c>
      <c r="J150" s="386">
        <f t="shared" si="268"/>
        <v>15.32</v>
      </c>
      <c r="K150" s="386">
        <f t="shared" si="269"/>
        <v>28.32</v>
      </c>
      <c r="L150" s="386"/>
      <c r="M150" s="191">
        <f t="shared" si="270"/>
        <v>0.54096045197740117</v>
      </c>
      <c r="N150" s="152">
        <f t="shared" si="271"/>
        <v>2.3997235845654528</v>
      </c>
      <c r="O150" s="152">
        <f t="shared" si="262"/>
        <v>0.60000000000000009</v>
      </c>
      <c r="P150" s="191">
        <f t="shared" si="272"/>
        <v>0.15998157230436352</v>
      </c>
      <c r="Q150" s="191">
        <f t="shared" si="273"/>
        <v>15</v>
      </c>
      <c r="R150" s="191"/>
      <c r="S150" s="152">
        <f t="shared" si="274"/>
        <v>96.730364341913671</v>
      </c>
      <c r="T150" s="152">
        <f t="shared" si="275"/>
        <v>15</v>
      </c>
      <c r="U150" s="191">
        <f t="shared" si="276"/>
        <v>0.18959630447881098</v>
      </c>
      <c r="V150" s="191">
        <f t="shared" si="277"/>
        <v>0.68546356234647043</v>
      </c>
      <c r="W150" s="191">
        <f t="shared" si="278"/>
        <v>0.58165968084230513</v>
      </c>
      <c r="X150" s="175">
        <f t="shared" si="279"/>
        <v>350</v>
      </c>
      <c r="Y150" s="386">
        <f t="shared" si="215"/>
        <v>350</v>
      </c>
      <c r="AA150" s="191">
        <f t="shared" si="280"/>
        <v>0.42750674016451157</v>
      </c>
      <c r="AB150" s="153">
        <f t="shared" si="281"/>
        <v>1.3115415657788541</v>
      </c>
      <c r="AC150" s="153">
        <f t="shared" si="282"/>
        <v>9.8121250390866027E-2</v>
      </c>
      <c r="AD150" s="153"/>
      <c r="AE150" s="153">
        <f t="shared" si="283"/>
        <v>0.46018276762402083</v>
      </c>
      <c r="AF150" s="317">
        <f t="shared" si="284"/>
        <v>1158.959810874705</v>
      </c>
      <c r="AG150" s="463">
        <f t="shared" si="285"/>
        <v>1.2079797650130546E-2</v>
      </c>
      <c r="AI150" s="153">
        <f t="shared" si="286"/>
        <v>0.27295523308871866</v>
      </c>
      <c r="AJ150" s="153">
        <f t="shared" si="287"/>
        <v>0.27295523308871866</v>
      </c>
      <c r="AK150" s="153">
        <f t="shared" si="288"/>
        <v>1.2819701553924792</v>
      </c>
      <c r="AM150" s="317">
        <f t="shared" si="289"/>
        <v>40.000000000000007</v>
      </c>
      <c r="AN150" s="147">
        <f t="shared" si="290"/>
        <v>350</v>
      </c>
      <c r="AP150" s="147">
        <f t="shared" si="291"/>
        <v>40.000000000000007</v>
      </c>
      <c r="AQ150" s="147">
        <f t="shared" si="292"/>
        <v>350</v>
      </c>
      <c r="AS150" s="5">
        <f t="shared" si="263"/>
        <v>2.8571428571428572</v>
      </c>
      <c r="AT150" s="5">
        <f t="shared" si="293"/>
        <v>0.98683815039767508</v>
      </c>
      <c r="AU150" s="5">
        <f t="shared" si="230"/>
        <v>1.8703047067451821</v>
      </c>
      <c r="AV150" s="5"/>
      <c r="AW150" s="153">
        <f t="shared" si="231"/>
        <v>0.34539335263918625</v>
      </c>
      <c r="AX150" s="153">
        <f t="shared" si="259"/>
        <v>0.61280000000000012</v>
      </c>
      <c r="AY150" s="153">
        <f t="shared" si="260"/>
        <v>8.9339155005897786E-2</v>
      </c>
      <c r="AZ150" s="153">
        <f t="shared" si="264"/>
        <v>6.8592544888022022</v>
      </c>
      <c r="BA150" s="147">
        <f t="shared" si="294"/>
        <v>3.4876336995076449</v>
      </c>
      <c r="BB150" s="147">
        <f t="shared" si="295"/>
        <v>2.9447457577909284</v>
      </c>
      <c r="BC150" s="5">
        <f t="shared" si="258"/>
        <v>0.12788408251249109</v>
      </c>
      <c r="BD150" s="147">
        <f t="shared" si="296"/>
        <v>9.7451523422829869</v>
      </c>
      <c r="BF150" s="153">
        <f t="shared" si="265"/>
        <v>9.2616376365717554E-2</v>
      </c>
      <c r="BG150" s="153">
        <f t="shared" si="261"/>
        <v>0.12750317611360118</v>
      </c>
      <c r="BI150" s="463">
        <f t="shared" si="236"/>
        <v>3.0022276098906854E-3</v>
      </c>
      <c r="BJ150" s="463">
        <f t="shared" si="237"/>
        <v>1.3527661351876897E-2</v>
      </c>
      <c r="BK150" s="463">
        <f t="shared" si="238"/>
        <v>4.3749999999999995E-3</v>
      </c>
      <c r="BL150" s="463">
        <f t="shared" si="239"/>
        <v>1.4035392000000001E-2</v>
      </c>
      <c r="BM150">
        <f t="shared" si="240"/>
        <v>3.7699999999999999E-3</v>
      </c>
      <c r="BN150">
        <f t="shared" si="297"/>
        <v>6.9999999999999999E-6</v>
      </c>
      <c r="BO150" s="463">
        <f t="shared" si="298"/>
        <v>3.9144264127355978E-2</v>
      </c>
      <c r="BP150" s="147">
        <f t="shared" si="243"/>
        <v>38.710280961767587</v>
      </c>
      <c r="BQ150" s="463">
        <f t="shared" si="299"/>
        <v>2.7700393778158791E-2</v>
      </c>
      <c r="BT150" s="147">
        <f t="shared" si="245"/>
        <v>27.700393778158791</v>
      </c>
      <c r="BU150" s="463">
        <f t="shared" si="246"/>
        <v>8.5777931711162447E-3</v>
      </c>
      <c r="BV150" s="463">
        <f t="shared" si="247"/>
        <v>1.6257059919055999E-2</v>
      </c>
      <c r="BW150" s="463">
        <f t="shared" si="248"/>
        <v>0</v>
      </c>
      <c r="BX150" s="463"/>
      <c r="BY150" s="463">
        <f t="shared" si="249"/>
        <v>1.303829787234043E-2</v>
      </c>
      <c r="BZ150" s="147">
        <f t="shared" si="250"/>
        <v>37.873150962512675</v>
      </c>
      <c r="CA150" s="153">
        <f t="shared" si="251"/>
        <v>0.10428382570243905</v>
      </c>
      <c r="CB150" s="5">
        <f t="shared" si="252"/>
        <v>0.60000000000000009</v>
      </c>
      <c r="CC150" s="153">
        <f t="shared" si="253"/>
        <v>0.85192926218569864</v>
      </c>
      <c r="CD150" s="5">
        <f t="shared" si="254"/>
        <v>85.192926218569866</v>
      </c>
      <c r="CG150" s="59">
        <f t="shared" si="300"/>
        <v>-50</v>
      </c>
      <c r="CH150">
        <f t="shared" si="301"/>
        <v>-50</v>
      </c>
    </row>
    <row r="151" spans="5:86" x14ac:dyDescent="0.25">
      <c r="E151" s="150">
        <v>41</v>
      </c>
      <c r="F151" s="191">
        <f t="shared" si="302"/>
        <v>4.1000000000000002E-2</v>
      </c>
      <c r="G151" s="191"/>
      <c r="H151" s="191">
        <f t="shared" si="266"/>
        <v>0.61499999999999999</v>
      </c>
      <c r="I151" s="472">
        <f t="shared" si="267"/>
        <v>13</v>
      </c>
      <c r="J151" s="386">
        <f t="shared" si="268"/>
        <v>15.32</v>
      </c>
      <c r="K151" s="386">
        <f t="shared" si="269"/>
        <v>28.32</v>
      </c>
      <c r="L151" s="386"/>
      <c r="M151" s="191">
        <f t="shared" si="270"/>
        <v>0.54096045197740117</v>
      </c>
      <c r="N151" s="152">
        <f t="shared" si="271"/>
        <v>2.3997235845654528</v>
      </c>
      <c r="O151" s="152">
        <f t="shared" si="262"/>
        <v>0.61499999999999999</v>
      </c>
      <c r="P151" s="191">
        <f t="shared" si="272"/>
        <v>0.15998157230436352</v>
      </c>
      <c r="Q151" s="191">
        <f t="shared" si="273"/>
        <v>15</v>
      </c>
      <c r="R151" s="191"/>
      <c r="S151" s="152">
        <f t="shared" si="274"/>
        <v>94.056273997115611</v>
      </c>
      <c r="T151" s="152">
        <f t="shared" si="275"/>
        <v>15</v>
      </c>
      <c r="U151" s="191">
        <f t="shared" si="276"/>
        <v>0.19433621209078125</v>
      </c>
      <c r="V151" s="191">
        <f t="shared" si="277"/>
        <v>0.7026001514051321</v>
      </c>
      <c r="W151" s="191">
        <f t="shared" si="278"/>
        <v>0.59620117286336283</v>
      </c>
      <c r="X151" s="175">
        <f t="shared" si="279"/>
        <v>350</v>
      </c>
      <c r="Y151" s="386">
        <f t="shared" si="215"/>
        <v>350</v>
      </c>
      <c r="AA151" s="191">
        <f t="shared" si="280"/>
        <v>0.42750674016451157</v>
      </c>
      <c r="AB151" s="153">
        <f t="shared" si="281"/>
        <v>1.3115415657788541</v>
      </c>
      <c r="AC151" s="153">
        <f t="shared" si="282"/>
        <v>9.8121250390866027E-2</v>
      </c>
      <c r="AD151" s="153"/>
      <c r="AE151" s="153">
        <f t="shared" si="283"/>
        <v>0.46018276762402083</v>
      </c>
      <c r="AF151" s="317">
        <f t="shared" si="284"/>
        <v>1187.9338061465724</v>
      </c>
      <c r="AG151" s="463">
        <f t="shared" si="285"/>
        <v>1.2079797650130546E-2</v>
      </c>
      <c r="AI151" s="153">
        <f t="shared" si="286"/>
        <v>0.27634611133916764</v>
      </c>
      <c r="AJ151" s="153">
        <f t="shared" si="287"/>
        <v>0.27634611133916764</v>
      </c>
      <c r="AK151" s="153">
        <f t="shared" si="288"/>
        <v>1.2842307408927784</v>
      </c>
      <c r="AM151" s="317">
        <f t="shared" si="289"/>
        <v>41</v>
      </c>
      <c r="AN151" s="147">
        <f t="shared" si="290"/>
        <v>350</v>
      </c>
      <c r="AP151" s="147">
        <f t="shared" si="291"/>
        <v>41</v>
      </c>
      <c r="AQ151" s="147">
        <f t="shared" si="292"/>
        <v>350</v>
      </c>
      <c r="AS151" s="5">
        <f t="shared" si="263"/>
        <v>2.8571428571428572</v>
      </c>
      <c r="AT151" s="5">
        <f t="shared" si="293"/>
        <v>0.99909747945699057</v>
      </c>
      <c r="AU151" s="5">
        <f t="shared" si="230"/>
        <v>1.8580453776858668</v>
      </c>
      <c r="AV151" s="5"/>
      <c r="AW151" s="153">
        <f t="shared" si="231"/>
        <v>0.34968411780994668</v>
      </c>
      <c r="AX151" s="153">
        <f t="shared" si="259"/>
        <v>0.62812000000000001</v>
      </c>
      <c r="AY151" s="153">
        <f t="shared" si="260"/>
        <v>8.9856132592660745E-2</v>
      </c>
      <c r="AZ151" s="153">
        <f t="shared" si="264"/>
        <v>6.9902852690913999</v>
      </c>
      <c r="BA151" s="147">
        <f t="shared" si="294"/>
        <v>3.4876336995076449</v>
      </c>
      <c r="BB151" s="147">
        <f t="shared" si="295"/>
        <v>3.0907485117790934</v>
      </c>
      <c r="BC151" s="5">
        <f t="shared" si="258"/>
        <v>0.13022198373524876</v>
      </c>
      <c r="BD151" s="147">
        <f t="shared" si="296"/>
        <v>9.9243410878359661</v>
      </c>
      <c r="BF151" s="153">
        <f t="shared" si="265"/>
        <v>9.4347562428082468E-2</v>
      </c>
      <c r="BG151" s="153">
        <f t="shared" si="261"/>
        <v>0.12866336650851953</v>
      </c>
      <c r="BI151" s="463">
        <f t="shared" si="236"/>
        <v>3.1155118876423217E-3</v>
      </c>
      <c r="BJ151" s="463">
        <f t="shared" si="237"/>
        <v>1.3695713277969149E-2</v>
      </c>
      <c r="BK151" s="463">
        <f t="shared" si="238"/>
        <v>4.3749999999999995E-3</v>
      </c>
      <c r="BL151" s="463">
        <f t="shared" si="239"/>
        <v>1.4035392000000001E-2</v>
      </c>
      <c r="BM151">
        <f t="shared" si="240"/>
        <v>3.7699999999999999E-3</v>
      </c>
      <c r="BN151">
        <f t="shared" si="297"/>
        <v>6.9999999999999999E-6</v>
      </c>
      <c r="BO151" s="463">
        <f t="shared" si="298"/>
        <v>3.944188293581976E-2</v>
      </c>
      <c r="BP151" s="147">
        <f t="shared" si="243"/>
        <v>38.991617165611473</v>
      </c>
      <c r="BQ151" s="463">
        <f t="shared" si="299"/>
        <v>2.83094560773175E-2</v>
      </c>
      <c r="BT151" s="147">
        <f t="shared" si="245"/>
        <v>28.309456077317499</v>
      </c>
      <c r="BU151" s="463">
        <f t="shared" si="246"/>
        <v>8.9014625361209191E-3</v>
      </c>
      <c r="BV151" s="463">
        <f t="shared" si="247"/>
        <v>1.6554261881305626E-2</v>
      </c>
      <c r="BW151" s="463">
        <f t="shared" si="248"/>
        <v>0</v>
      </c>
      <c r="BX151" s="463"/>
      <c r="BY151" s="463">
        <f t="shared" si="249"/>
        <v>1.3364255319148938E-2</v>
      </c>
      <c r="BZ151" s="147">
        <f t="shared" si="250"/>
        <v>38.819979736575483</v>
      </c>
      <c r="CA151" s="153">
        <f t="shared" si="251"/>
        <v>0.10612105297950446</v>
      </c>
      <c r="CB151" s="5">
        <f t="shared" si="252"/>
        <v>0.61499999999999999</v>
      </c>
      <c r="CC151" s="153">
        <f t="shared" si="253"/>
        <v>0.85283878130996593</v>
      </c>
      <c r="CD151" s="5">
        <f t="shared" si="254"/>
        <v>85.283878130996598</v>
      </c>
      <c r="CG151" s="59">
        <f t="shared" si="300"/>
        <v>-50</v>
      </c>
      <c r="CH151">
        <f t="shared" si="301"/>
        <v>-50</v>
      </c>
    </row>
    <row r="152" spans="5:86" x14ac:dyDescent="0.25">
      <c r="E152" s="150">
        <v>42</v>
      </c>
      <c r="F152" s="191">
        <f t="shared" si="302"/>
        <v>4.2000000000000003E-2</v>
      </c>
      <c r="G152" s="191"/>
      <c r="H152" s="191">
        <f t="shared" si="266"/>
        <v>0.63</v>
      </c>
      <c r="I152" s="472">
        <f t="shared" si="267"/>
        <v>13</v>
      </c>
      <c r="J152" s="386">
        <f t="shared" si="268"/>
        <v>15.32</v>
      </c>
      <c r="K152" s="386">
        <f t="shared" si="269"/>
        <v>28.32</v>
      </c>
      <c r="L152" s="386"/>
      <c r="M152" s="191">
        <f t="shared" si="270"/>
        <v>0.54096045197740117</v>
      </c>
      <c r="N152" s="152">
        <f t="shared" si="271"/>
        <v>2.3997235845654528</v>
      </c>
      <c r="O152" s="152">
        <f t="shared" si="262"/>
        <v>0.63</v>
      </c>
      <c r="P152" s="191">
        <f t="shared" si="272"/>
        <v>0.15998157230436352</v>
      </c>
      <c r="Q152" s="191">
        <f t="shared" si="273"/>
        <v>15</v>
      </c>
      <c r="R152" s="191"/>
      <c r="S152" s="152">
        <f t="shared" si="274"/>
        <v>91.509587017875262</v>
      </c>
      <c r="T152" s="152">
        <f t="shared" si="275"/>
        <v>15</v>
      </c>
      <c r="U152" s="191">
        <f t="shared" si="276"/>
        <v>0.19907611970275152</v>
      </c>
      <c r="V152" s="191">
        <f t="shared" si="277"/>
        <v>0.71973674046379388</v>
      </c>
      <c r="W152" s="191">
        <f t="shared" si="278"/>
        <v>0.61074266488442031</v>
      </c>
      <c r="X152" s="175">
        <f t="shared" si="279"/>
        <v>350</v>
      </c>
      <c r="Y152" s="386">
        <f t="shared" si="215"/>
        <v>350</v>
      </c>
      <c r="AA152" s="191">
        <f t="shared" si="280"/>
        <v>0.42750674016451157</v>
      </c>
      <c r="AB152" s="153">
        <f t="shared" si="281"/>
        <v>1.3115415657788541</v>
      </c>
      <c r="AC152" s="153">
        <f t="shared" si="282"/>
        <v>9.8121250390866027E-2</v>
      </c>
      <c r="AD152" s="153"/>
      <c r="AE152" s="153">
        <f t="shared" si="283"/>
        <v>0.46018276762402083</v>
      </c>
      <c r="AF152" s="317">
        <f t="shared" si="284"/>
        <v>1216.9078014184402</v>
      </c>
      <c r="AG152" s="463">
        <f t="shared" si="285"/>
        <v>1.2079797650130546E-2</v>
      </c>
      <c r="AI152" s="153">
        <f t="shared" si="286"/>
        <v>0.27969588347711261</v>
      </c>
      <c r="AJ152" s="153">
        <f t="shared" si="287"/>
        <v>0.27969588347711261</v>
      </c>
      <c r="AK152" s="153">
        <f t="shared" si="288"/>
        <v>1.2864639223180752</v>
      </c>
      <c r="AM152" s="317">
        <f t="shared" si="289"/>
        <v>42</v>
      </c>
      <c r="AN152" s="147">
        <f t="shared" si="290"/>
        <v>350</v>
      </c>
      <c r="AP152" s="147">
        <f t="shared" si="291"/>
        <v>42</v>
      </c>
      <c r="AQ152" s="147">
        <f t="shared" si="292"/>
        <v>350</v>
      </c>
      <c r="AS152" s="5">
        <f t="shared" si="263"/>
        <v>2.8571428571428572</v>
      </c>
      <c r="AT152" s="5">
        <f t="shared" si="293"/>
        <v>1.0112081941095608</v>
      </c>
      <c r="AU152" s="5">
        <f t="shared" si="230"/>
        <v>1.8459346630332965</v>
      </c>
      <c r="AV152" s="5"/>
      <c r="AW152" s="153">
        <f t="shared" si="231"/>
        <v>0.35392286793834626</v>
      </c>
      <c r="AX152" s="153">
        <f t="shared" si="259"/>
        <v>0.64344000000000001</v>
      </c>
      <c r="AY152" s="153">
        <f t="shared" si="260"/>
        <v>9.0352557123171695E-2</v>
      </c>
      <c r="AZ152" s="153">
        <f t="shared" si="264"/>
        <v>7.1214365203061227</v>
      </c>
      <c r="BA152" s="147">
        <f t="shared" si="294"/>
        <v>3.4876336995076449</v>
      </c>
      <c r="BB152" s="147">
        <f t="shared" si="295"/>
        <v>3.2402821979644978</v>
      </c>
      <c r="BC152" s="5">
        <f t="shared" si="258"/>
        <v>0.13252864247418536</v>
      </c>
      <c r="BD152" s="147">
        <f t="shared" si="296"/>
        <v>10.101186647102365</v>
      </c>
      <c r="BF152" s="153">
        <f t="shared" si="265"/>
        <v>9.6068223424951096E-2</v>
      </c>
      <c r="BG152" s="153">
        <f t="shared" si="261"/>
        <v>0.12979788978505979</v>
      </c>
      <c r="BI152" s="463">
        <f t="shared" si="236"/>
        <v>3.2301862432092127E-3</v>
      </c>
      <c r="BJ152" s="463">
        <f t="shared" si="237"/>
        <v>1.3861727985125701E-2</v>
      </c>
      <c r="BK152" s="463">
        <f t="shared" si="238"/>
        <v>4.3749999999999995E-3</v>
      </c>
      <c r="BL152" s="463">
        <f t="shared" si="239"/>
        <v>1.4035392000000001E-2</v>
      </c>
      <c r="BM152">
        <f t="shared" si="240"/>
        <v>3.7699999999999999E-3</v>
      </c>
      <c r="BN152">
        <f t="shared" si="297"/>
        <v>6.9999999999999999E-6</v>
      </c>
      <c r="BO152" s="463">
        <f t="shared" si="298"/>
        <v>3.9739064636160774E-2</v>
      </c>
      <c r="BP152" s="147">
        <f t="shared" si="243"/>
        <v>39.272306228334919</v>
      </c>
      <c r="BQ152" s="463">
        <f t="shared" si="299"/>
        <v>2.8915484035188063E-2</v>
      </c>
      <c r="BT152" s="147">
        <f t="shared" si="245"/>
        <v>28.915484035188062</v>
      </c>
      <c r="BU152" s="463">
        <f t="shared" si="246"/>
        <v>9.2291035520263229E-3</v>
      </c>
      <c r="BV152" s="463">
        <f t="shared" si="247"/>
        <v>1.684749219265453E-2</v>
      </c>
      <c r="BW152" s="463">
        <f t="shared" si="248"/>
        <v>0</v>
      </c>
      <c r="BX152" s="463"/>
      <c r="BY152" s="463">
        <f t="shared" si="249"/>
        <v>1.3690212765957452E-2</v>
      </c>
      <c r="BZ152" s="147">
        <f t="shared" si="250"/>
        <v>39.766808510638306</v>
      </c>
      <c r="CA152" s="153">
        <f t="shared" si="251"/>
        <v>0.10795459877416129</v>
      </c>
      <c r="CB152" s="5">
        <f t="shared" si="252"/>
        <v>0.63</v>
      </c>
      <c r="CC152" s="153">
        <f t="shared" si="253"/>
        <v>0.85371105627163524</v>
      </c>
      <c r="CD152" s="5">
        <f t="shared" si="254"/>
        <v>85.37110562716353</v>
      </c>
      <c r="CG152" s="59">
        <f t="shared" si="300"/>
        <v>-50</v>
      </c>
      <c r="CH152">
        <f t="shared" si="301"/>
        <v>-50</v>
      </c>
    </row>
    <row r="153" spans="5:86" x14ac:dyDescent="0.25">
      <c r="E153" s="150">
        <v>43</v>
      </c>
      <c r="F153" s="191">
        <f t="shared" si="302"/>
        <v>4.3000000000000003E-2</v>
      </c>
      <c r="G153" s="191"/>
      <c r="H153" s="191">
        <f t="shared" si="266"/>
        <v>0.64500000000000002</v>
      </c>
      <c r="I153" s="472">
        <f t="shared" si="267"/>
        <v>13</v>
      </c>
      <c r="J153" s="386">
        <f t="shared" si="268"/>
        <v>15.32</v>
      </c>
      <c r="K153" s="386">
        <f t="shared" si="269"/>
        <v>28.32</v>
      </c>
      <c r="L153" s="386"/>
      <c r="M153" s="191">
        <f t="shared" si="270"/>
        <v>0.54096045197740117</v>
      </c>
      <c r="N153" s="152">
        <f t="shared" si="271"/>
        <v>2.3997235845654528</v>
      </c>
      <c r="O153" s="152">
        <f t="shared" si="262"/>
        <v>0.64500000000000002</v>
      </c>
      <c r="P153" s="191">
        <f t="shared" si="272"/>
        <v>0.15998157230436352</v>
      </c>
      <c r="Q153" s="191">
        <f t="shared" si="273"/>
        <v>15</v>
      </c>
      <c r="R153" s="191"/>
      <c r="S153" s="152">
        <f t="shared" si="274"/>
        <v>89.081415422697262</v>
      </c>
      <c r="T153" s="152">
        <f t="shared" si="275"/>
        <v>15</v>
      </c>
      <c r="U153" s="191">
        <f t="shared" si="276"/>
        <v>0.20381602731472179</v>
      </c>
      <c r="V153" s="191">
        <f t="shared" si="277"/>
        <v>0.73687332952245554</v>
      </c>
      <c r="W153" s="191">
        <f t="shared" si="278"/>
        <v>0.62528415690547801</v>
      </c>
      <c r="X153" s="175">
        <f t="shared" si="279"/>
        <v>350</v>
      </c>
      <c r="Y153" s="386">
        <f t="shared" si="215"/>
        <v>350</v>
      </c>
      <c r="AA153" s="191">
        <f t="shared" si="280"/>
        <v>0.42750674016451157</v>
      </c>
      <c r="AB153" s="153">
        <f t="shared" si="281"/>
        <v>1.3115415657788541</v>
      </c>
      <c r="AC153" s="153">
        <f t="shared" si="282"/>
        <v>9.8121250390866027E-2</v>
      </c>
      <c r="AD153" s="153"/>
      <c r="AE153" s="153">
        <f t="shared" si="283"/>
        <v>0.46018276762402083</v>
      </c>
      <c r="AF153" s="317">
        <f t="shared" si="284"/>
        <v>1245.8817966903077</v>
      </c>
      <c r="AG153" s="463">
        <f t="shared" si="285"/>
        <v>1.2079797650130546E-2</v>
      </c>
      <c r="AI153" s="153">
        <f t="shared" si="286"/>
        <v>0.28300600915140561</v>
      </c>
      <c r="AJ153" s="153">
        <f t="shared" si="287"/>
        <v>0.28300600915140561</v>
      </c>
      <c r="AK153" s="153">
        <f t="shared" si="288"/>
        <v>1.2886706727676036</v>
      </c>
      <c r="AM153" s="317">
        <f t="shared" si="289"/>
        <v>43</v>
      </c>
      <c r="AN153" s="147">
        <f t="shared" si="290"/>
        <v>350</v>
      </c>
      <c r="AP153" s="147">
        <f t="shared" si="291"/>
        <v>43</v>
      </c>
      <c r="AQ153" s="147">
        <f t="shared" si="292"/>
        <v>350</v>
      </c>
      <c r="AS153" s="5">
        <f t="shared" si="263"/>
        <v>2.8571428571428572</v>
      </c>
      <c r="AT153" s="5">
        <f t="shared" si="293"/>
        <v>1.0231755715473896</v>
      </c>
      <c r="AU153" s="5">
        <f t="shared" si="230"/>
        <v>1.8339672855954676</v>
      </c>
      <c r="AV153" s="5"/>
      <c r="AW153" s="153">
        <f t="shared" si="231"/>
        <v>0.35811145004158634</v>
      </c>
      <c r="AX153" s="153">
        <f t="shared" si="259"/>
        <v>0.65876000000000001</v>
      </c>
      <c r="AY153" s="153">
        <f t="shared" si="260"/>
        <v>9.0829158421856654E-2</v>
      </c>
      <c r="AZ153" s="153">
        <f t="shared" si="264"/>
        <v>7.2527370224040242</v>
      </c>
      <c r="BA153" s="147">
        <f t="shared" si="294"/>
        <v>3.4876336995076449</v>
      </c>
      <c r="BB153" s="147">
        <f t="shared" si="295"/>
        <v>3.3933468163471412</v>
      </c>
      <c r="BC153" s="5">
        <f t="shared" si="258"/>
        <v>0.13480443295829933</v>
      </c>
      <c r="BD153" s="147">
        <f t="shared" si="296"/>
        <v>10.275717087257064</v>
      </c>
      <c r="BF153" s="153">
        <f t="shared" si="265"/>
        <v>9.7778671731457892E-2</v>
      </c>
      <c r="BG153" s="153">
        <f t="shared" si="261"/>
        <v>0.13090759499114998</v>
      </c>
      <c r="BI153" s="463">
        <f t="shared" si="236"/>
        <v>3.3462340259488707E-3</v>
      </c>
      <c r="BJ153" s="463">
        <f t="shared" si="237"/>
        <v>1.4025777813543664E-2</v>
      </c>
      <c r="BK153" s="463">
        <f t="shared" si="238"/>
        <v>4.3749999999999995E-3</v>
      </c>
      <c r="BL153" s="463">
        <f t="shared" si="239"/>
        <v>1.4035392000000001E-2</v>
      </c>
      <c r="BM153">
        <f t="shared" si="240"/>
        <v>3.7699999999999999E-3</v>
      </c>
      <c r="BN153">
        <f t="shared" si="297"/>
        <v>6.9999999999999999E-6</v>
      </c>
      <c r="BO153" s="463">
        <f t="shared" si="298"/>
        <v>4.0035862781077299E-2</v>
      </c>
      <c r="BP153" s="147">
        <f t="shared" si="243"/>
        <v>39.552403839492541</v>
      </c>
      <c r="BQ153" s="463">
        <f t="shared" si="299"/>
        <v>2.9518513997744363E-2</v>
      </c>
      <c r="BT153" s="147">
        <f t="shared" si="245"/>
        <v>29.518513997744364</v>
      </c>
      <c r="BU153" s="463">
        <f t="shared" si="246"/>
        <v>9.5606686455682027E-3</v>
      </c>
      <c r="BV153" s="463">
        <f t="shared" si="247"/>
        <v>1.7136798426366957E-2</v>
      </c>
      <c r="BW153" s="463">
        <f t="shared" si="248"/>
        <v>0</v>
      </c>
      <c r="BX153" s="463"/>
      <c r="BY153" s="463">
        <f t="shared" si="249"/>
        <v>1.4016170212765961E-2</v>
      </c>
      <c r="BZ153" s="147">
        <f t="shared" si="250"/>
        <v>40.713637284701122</v>
      </c>
      <c r="CA153" s="153">
        <f t="shared" si="251"/>
        <v>0.10978455512193802</v>
      </c>
      <c r="CB153" s="5">
        <f t="shared" si="252"/>
        <v>0.64500000000000002</v>
      </c>
      <c r="CC153" s="153">
        <f t="shared" si="253"/>
        <v>0.85454848754264456</v>
      </c>
      <c r="CD153" s="5">
        <f t="shared" si="254"/>
        <v>85.454848754264461</v>
      </c>
      <c r="CG153" s="59">
        <f t="shared" si="300"/>
        <v>-50</v>
      </c>
      <c r="CH153">
        <f t="shared" si="301"/>
        <v>-50</v>
      </c>
    </row>
    <row r="154" spans="5:86" x14ac:dyDescent="0.25">
      <c r="E154" s="150">
        <v>44</v>
      </c>
      <c r="F154" s="191">
        <f t="shared" si="302"/>
        <v>4.4000000000000004E-2</v>
      </c>
      <c r="G154" s="191"/>
      <c r="H154" s="191">
        <f t="shared" si="266"/>
        <v>0.66</v>
      </c>
      <c r="I154" s="472">
        <f t="shared" si="267"/>
        <v>13</v>
      </c>
      <c r="J154" s="386">
        <f t="shared" si="268"/>
        <v>15.32</v>
      </c>
      <c r="K154" s="386">
        <f t="shared" si="269"/>
        <v>28.32</v>
      </c>
      <c r="L154" s="386"/>
      <c r="M154" s="191">
        <f t="shared" si="270"/>
        <v>0.54096045197740117</v>
      </c>
      <c r="N154" s="152">
        <f t="shared" si="271"/>
        <v>2.3997235845654528</v>
      </c>
      <c r="O154" s="152">
        <f t="shared" si="262"/>
        <v>0.66</v>
      </c>
      <c r="P154" s="191">
        <f t="shared" si="272"/>
        <v>0.15998157230436352</v>
      </c>
      <c r="Q154" s="191">
        <f t="shared" si="273"/>
        <v>15</v>
      </c>
      <c r="R154" s="191"/>
      <c r="S154" s="152">
        <f t="shared" si="274"/>
        <v>86.763679236090042</v>
      </c>
      <c r="T154" s="152">
        <f t="shared" si="275"/>
        <v>15</v>
      </c>
      <c r="U154" s="191">
        <f t="shared" si="276"/>
        <v>0.20855593492669208</v>
      </c>
      <c r="V154" s="191">
        <f t="shared" si="277"/>
        <v>0.75400991858111743</v>
      </c>
      <c r="W154" s="191">
        <f t="shared" si="278"/>
        <v>0.6398256489265356</v>
      </c>
      <c r="X154" s="175">
        <f t="shared" si="279"/>
        <v>350</v>
      </c>
      <c r="Y154" s="386">
        <f t="shared" si="215"/>
        <v>350</v>
      </c>
      <c r="AA154" s="191">
        <f t="shared" si="280"/>
        <v>0.42750674016451157</v>
      </c>
      <c r="AB154" s="153">
        <f t="shared" si="281"/>
        <v>1.3115415657788541</v>
      </c>
      <c r="AC154" s="153">
        <f t="shared" si="282"/>
        <v>9.8121250390866027E-2</v>
      </c>
      <c r="AD154" s="153"/>
      <c r="AE154" s="153">
        <f t="shared" si="283"/>
        <v>0.46018276762402083</v>
      </c>
      <c r="AF154" s="317">
        <f t="shared" si="284"/>
        <v>1274.8557919621753</v>
      </c>
      <c r="AG154" s="463">
        <f t="shared" si="285"/>
        <v>1.2079797650130546E-2</v>
      </c>
      <c r="AI154" s="153">
        <f t="shared" si="286"/>
        <v>0.28627786361779423</v>
      </c>
      <c r="AJ154" s="153">
        <f t="shared" si="287"/>
        <v>0.28627786361779423</v>
      </c>
      <c r="AK154" s="153">
        <f t="shared" si="288"/>
        <v>1.2908519090785295</v>
      </c>
      <c r="AM154" s="317">
        <f t="shared" si="289"/>
        <v>44.000000000000007</v>
      </c>
      <c r="AN154" s="147">
        <f t="shared" si="290"/>
        <v>350</v>
      </c>
      <c r="AP154" s="147">
        <f t="shared" si="291"/>
        <v>44.000000000000007</v>
      </c>
      <c r="AQ154" s="147">
        <f t="shared" si="292"/>
        <v>350</v>
      </c>
      <c r="AS154" s="5">
        <f t="shared" si="263"/>
        <v>2.8571428571428572</v>
      </c>
      <c r="AT154" s="5">
        <f t="shared" si="293"/>
        <v>1.0350045838489483</v>
      </c>
      <c r="AU154" s="5">
        <f t="shared" si="230"/>
        <v>1.8221382732939089</v>
      </c>
      <c r="AV154" s="5"/>
      <c r="AW154" s="153">
        <f t="shared" si="231"/>
        <v>0.36225160434713188</v>
      </c>
      <c r="AX154" s="153">
        <f t="shared" si="259"/>
        <v>0.6740799999999999</v>
      </c>
      <c r="AY154" s="153">
        <f t="shared" si="260"/>
        <v>9.1286624116589429E-2</v>
      </c>
      <c r="AZ154" s="153">
        <f t="shared" si="264"/>
        <v>7.3842143525767652</v>
      </c>
      <c r="BA154" s="147">
        <f t="shared" si="294"/>
        <v>3.4876336995076449</v>
      </c>
      <c r="BB154" s="147">
        <f t="shared" si="295"/>
        <v>3.5499423669270236</v>
      </c>
      <c r="BC154" s="5">
        <f t="shared" si="258"/>
        <v>0.13704971628193505</v>
      </c>
      <c r="BD154" s="147">
        <f t="shared" si="296"/>
        <v>10.447959490375895</v>
      </c>
      <c r="BF154" s="153">
        <f t="shared" si="265"/>
        <v>9.947920342063582E-2</v>
      </c>
      <c r="BG154" s="153">
        <f t="shared" si="261"/>
        <v>0.13199328197292928</v>
      </c>
      <c r="BI154" s="463">
        <f t="shared" si="236"/>
        <v>3.4636391696214845E-3</v>
      </c>
      <c r="BJ154" s="463">
        <f t="shared" si="237"/>
        <v>1.418793092089788E-2</v>
      </c>
      <c r="BK154" s="463">
        <f t="shared" si="238"/>
        <v>4.3749999999999995E-3</v>
      </c>
      <c r="BL154" s="463">
        <f t="shared" si="239"/>
        <v>1.4035392000000001E-2</v>
      </c>
      <c r="BM154">
        <f t="shared" si="240"/>
        <v>3.7699999999999999E-3</v>
      </c>
      <c r="BN154">
        <f t="shared" si="297"/>
        <v>6.9999999999999999E-6</v>
      </c>
      <c r="BO154" s="463">
        <f t="shared" si="298"/>
        <v>4.0332327406470074E-2</v>
      </c>
      <c r="BP154" s="147">
        <f t="shared" si="243"/>
        <v>39.831962090519369</v>
      </c>
      <c r="BQ154" s="463">
        <f t="shared" si="299"/>
        <v>3.0118581035292712E-2</v>
      </c>
      <c r="BT154" s="147">
        <f t="shared" si="245"/>
        <v>30.11858103529271</v>
      </c>
      <c r="BU154" s="463">
        <f t="shared" si="246"/>
        <v>9.8961119132042422E-3</v>
      </c>
      <c r="BV154" s="463">
        <f t="shared" si="247"/>
        <v>1.742222648598522E-2</v>
      </c>
      <c r="BW154" s="463">
        <f t="shared" si="248"/>
        <v>0</v>
      </c>
      <c r="BX154" s="463"/>
      <c r="BY154" s="463">
        <f t="shared" si="249"/>
        <v>1.4342127659574469E-2</v>
      </c>
      <c r="BZ154" s="147">
        <f t="shared" si="250"/>
        <v>41.66046605876393</v>
      </c>
      <c r="CA154" s="153">
        <f t="shared" si="251"/>
        <v>0.11161100918457603</v>
      </c>
      <c r="CB154" s="5">
        <f t="shared" si="252"/>
        <v>0.66</v>
      </c>
      <c r="CC154" s="153">
        <f t="shared" si="253"/>
        <v>0.85535327016325957</v>
      </c>
      <c r="CD154" s="5">
        <f t="shared" si="254"/>
        <v>85.535327016325951</v>
      </c>
      <c r="CG154" s="59">
        <f t="shared" si="300"/>
        <v>-50</v>
      </c>
      <c r="CH154">
        <f t="shared" si="301"/>
        <v>-50</v>
      </c>
    </row>
    <row r="155" spans="5:86" x14ac:dyDescent="0.25">
      <c r="E155" s="150">
        <v>45</v>
      </c>
      <c r="F155" s="191">
        <f t="shared" si="302"/>
        <v>4.5000000000000005E-2</v>
      </c>
      <c r="G155" s="191"/>
      <c r="H155" s="191">
        <f t="shared" si="266"/>
        <v>0.67500000000000004</v>
      </c>
      <c r="I155" s="472">
        <f t="shared" si="267"/>
        <v>13</v>
      </c>
      <c r="J155" s="386">
        <f t="shared" si="268"/>
        <v>15.32</v>
      </c>
      <c r="K155" s="386">
        <f t="shared" si="269"/>
        <v>28.32</v>
      </c>
      <c r="L155" s="386"/>
      <c r="M155" s="191">
        <f t="shared" si="270"/>
        <v>0.54096045197740117</v>
      </c>
      <c r="N155" s="152">
        <f t="shared" si="271"/>
        <v>2.3997235845654528</v>
      </c>
      <c r="O155" s="152">
        <f t="shared" si="262"/>
        <v>0.67500000000000004</v>
      </c>
      <c r="P155" s="191">
        <f t="shared" si="272"/>
        <v>0.15998157230436352</v>
      </c>
      <c r="Q155" s="191">
        <f t="shared" si="273"/>
        <v>15</v>
      </c>
      <c r="R155" s="191"/>
      <c r="S155" s="152">
        <f t="shared" si="274"/>
        <v>84.549016710234824</v>
      </c>
      <c r="T155" s="152">
        <f t="shared" si="275"/>
        <v>15</v>
      </c>
      <c r="U155" s="191">
        <f t="shared" si="276"/>
        <v>0.21329584253866235</v>
      </c>
      <c r="V155" s="191">
        <f t="shared" si="277"/>
        <v>0.77114650763977932</v>
      </c>
      <c r="W155" s="191">
        <f t="shared" si="278"/>
        <v>0.65436714094759341</v>
      </c>
      <c r="X155" s="175">
        <f t="shared" si="279"/>
        <v>350</v>
      </c>
      <c r="Y155" s="386">
        <f t="shared" si="215"/>
        <v>350</v>
      </c>
      <c r="AA155" s="191">
        <f t="shared" si="280"/>
        <v>0.42750674016451157</v>
      </c>
      <c r="AB155" s="153">
        <f t="shared" si="281"/>
        <v>1.3115415657788541</v>
      </c>
      <c r="AC155" s="153">
        <f t="shared" si="282"/>
        <v>9.8121250390866027E-2</v>
      </c>
      <c r="AD155" s="153"/>
      <c r="AE155" s="153">
        <f t="shared" si="283"/>
        <v>0.46018276762402083</v>
      </c>
      <c r="AF155" s="317">
        <f t="shared" si="284"/>
        <v>1303.8297872340429</v>
      </c>
      <c r="AG155" s="463">
        <f t="shared" si="285"/>
        <v>1.2079797650130546E-2</v>
      </c>
      <c r="AI155" s="153">
        <f t="shared" si="286"/>
        <v>0.28951274441608149</v>
      </c>
      <c r="AJ155" s="153">
        <f t="shared" si="287"/>
        <v>0.28951274441608149</v>
      </c>
      <c r="AK155" s="153">
        <f t="shared" si="288"/>
        <v>1.2930084962773876</v>
      </c>
      <c r="AM155" s="317">
        <f t="shared" si="289"/>
        <v>45.000000000000007</v>
      </c>
      <c r="AN155" s="147">
        <f t="shared" si="290"/>
        <v>350</v>
      </c>
      <c r="AP155" s="147">
        <f t="shared" si="291"/>
        <v>45.000000000000007</v>
      </c>
      <c r="AQ155" s="147">
        <f t="shared" si="292"/>
        <v>350</v>
      </c>
      <c r="AS155" s="5">
        <f t="shared" si="263"/>
        <v>2.8571428571428572</v>
      </c>
      <c r="AT155" s="5">
        <f t="shared" si="293"/>
        <v>1.0466999221196791</v>
      </c>
      <c r="AU155" s="5">
        <f t="shared" si="230"/>
        <v>1.8104429350231781</v>
      </c>
      <c r="AV155" s="5"/>
      <c r="AW155" s="153">
        <f t="shared" si="231"/>
        <v>0.36634497274188765</v>
      </c>
      <c r="AX155" s="153">
        <f t="shared" si="259"/>
        <v>0.68940000000000001</v>
      </c>
      <c r="AY155" s="153">
        <f t="shared" si="260"/>
        <v>9.1725602977271503E-2</v>
      </c>
      <c r="AZ155" s="153">
        <f t="shared" si="264"/>
        <v>7.5158949913997839</v>
      </c>
      <c r="BA155" s="147">
        <f t="shared" si="294"/>
        <v>3.4876336995076449</v>
      </c>
      <c r="BB155" s="147">
        <f t="shared" si="295"/>
        <v>3.7100688497041432</v>
      </c>
      <c r="BC155" s="5">
        <f t="shared" si="258"/>
        <v>0.13926484115562909</v>
      </c>
      <c r="BD155" s="147">
        <f t="shared" si="296"/>
        <v>10.617940009749105</v>
      </c>
      <c r="BF155" s="153">
        <f t="shared" si="265"/>
        <v>0.1011700994645351</v>
      </c>
      <c r="BG155" s="153">
        <f t="shared" si="261"/>
        <v>0.13305570525452806</v>
      </c>
      <c r="BI155" s="463">
        <f t="shared" si="236"/>
        <v>3.582386158982374E-3</v>
      </c>
      <c r="BJ155" s="463">
        <f t="shared" si="237"/>
        <v>1.4348251613260999E-2</v>
      </c>
      <c r="BK155" s="463">
        <f t="shared" si="238"/>
        <v>4.3749999999999995E-3</v>
      </c>
      <c r="BL155" s="463">
        <f t="shared" si="239"/>
        <v>1.4035392000000001E-2</v>
      </c>
      <c r="BM155">
        <f t="shared" si="240"/>
        <v>3.7699999999999999E-3</v>
      </c>
      <c r="BN155">
        <f t="shared" si="297"/>
        <v>6.9999999999999999E-6</v>
      </c>
      <c r="BO155" s="463">
        <f t="shared" si="298"/>
        <v>4.0628505324308214E-2</v>
      </c>
      <c r="BP155" s="147">
        <f t="shared" si="243"/>
        <v>40.111029772243377</v>
      </c>
      <c r="BQ155" s="463">
        <f t="shared" si="299"/>
        <v>3.0715719015395809E-2</v>
      </c>
      <c r="BT155" s="147">
        <f t="shared" si="245"/>
        <v>30.715719015395809</v>
      </c>
      <c r="BU155" s="463">
        <f t="shared" si="246"/>
        <v>1.0235389025663927E-2</v>
      </c>
      <c r="BV155" s="463">
        <f t="shared" si="247"/>
        <v>1.7703820700779846E-2</v>
      </c>
      <c r="BW155" s="463">
        <f t="shared" si="248"/>
        <v>0</v>
      </c>
      <c r="BX155" s="463"/>
      <c r="BY155" s="463">
        <f t="shared" si="249"/>
        <v>1.4668085106382983E-2</v>
      </c>
      <c r="BZ155" s="147">
        <f t="shared" si="250"/>
        <v>42.607294832826753</v>
      </c>
      <c r="CA155" s="153">
        <f t="shared" si="251"/>
        <v>0.11343404362046594</v>
      </c>
      <c r="CB155" s="5">
        <f t="shared" si="252"/>
        <v>0.67500000000000004</v>
      </c>
      <c r="CC155" s="153">
        <f t="shared" si="253"/>
        <v>0.85612741542769999</v>
      </c>
      <c r="CD155" s="5">
        <f t="shared" si="254"/>
        <v>85.612741542769996</v>
      </c>
      <c r="CG155" s="59">
        <f t="shared" si="300"/>
        <v>-50</v>
      </c>
      <c r="CH155">
        <f t="shared" si="301"/>
        <v>-50</v>
      </c>
    </row>
    <row r="156" spans="5:86" s="59" customFormat="1" x14ac:dyDescent="0.25">
      <c r="E156" s="150">
        <v>46</v>
      </c>
      <c r="F156" s="191">
        <f t="shared" si="302"/>
        <v>4.6000000000000006E-2</v>
      </c>
      <c r="G156" s="191"/>
      <c r="H156" s="191">
        <f t="shared" si="266"/>
        <v>0.69000000000000006</v>
      </c>
      <c r="I156" s="472">
        <f t="shared" si="267"/>
        <v>13</v>
      </c>
      <c r="J156" s="386">
        <f t="shared" si="268"/>
        <v>15.32</v>
      </c>
      <c r="K156" s="386">
        <f t="shared" si="269"/>
        <v>28.32</v>
      </c>
      <c r="L156" s="386"/>
      <c r="M156" s="191">
        <f t="shared" si="270"/>
        <v>0.54096045197740117</v>
      </c>
      <c r="N156" s="152">
        <f t="shared" si="271"/>
        <v>2.3997235845654528</v>
      </c>
      <c r="O156" s="152">
        <f t="shared" si="262"/>
        <v>0.69000000000000006</v>
      </c>
      <c r="P156" s="191">
        <f t="shared" si="272"/>
        <v>0.15998157230436352</v>
      </c>
      <c r="Q156" s="191">
        <f t="shared" si="273"/>
        <v>15</v>
      </c>
      <c r="R156" s="191"/>
      <c r="S156" s="152">
        <f t="shared" si="274"/>
        <v>82.430706256873648</v>
      </c>
      <c r="T156" s="152">
        <f t="shared" si="275"/>
        <v>15</v>
      </c>
      <c r="U156" s="191">
        <f t="shared" si="276"/>
        <v>0.21803575015063262</v>
      </c>
      <c r="V156" s="191">
        <f t="shared" si="277"/>
        <v>0.78828309669844099</v>
      </c>
      <c r="W156" s="191">
        <f t="shared" si="278"/>
        <v>0.66890863296865088</v>
      </c>
      <c r="X156" s="175">
        <f t="shared" si="279"/>
        <v>350</v>
      </c>
      <c r="Y156" s="386">
        <f t="shared" si="215"/>
        <v>350</v>
      </c>
      <c r="AA156" s="191">
        <f t="shared" si="280"/>
        <v>0.42750674016451157</v>
      </c>
      <c r="AB156" s="469">
        <f t="shared" si="281"/>
        <v>1.3115415657788541</v>
      </c>
      <c r="AC156" s="469">
        <f t="shared" si="282"/>
        <v>9.8121250390866027E-2</v>
      </c>
      <c r="AD156" s="469"/>
      <c r="AE156" s="469">
        <f t="shared" si="283"/>
        <v>0.46018276762402083</v>
      </c>
      <c r="AF156" s="317">
        <f t="shared" si="284"/>
        <v>1332.8037825059107</v>
      </c>
      <c r="AG156" s="504">
        <f t="shared" si="285"/>
        <v>1.2079797650130546E-2</v>
      </c>
      <c r="AI156" s="469">
        <f t="shared" si="286"/>
        <v>0.29271187738302357</v>
      </c>
      <c r="AJ156" s="469">
        <f t="shared" si="287"/>
        <v>0.29271187738302357</v>
      </c>
      <c r="AK156" s="153">
        <f t="shared" si="288"/>
        <v>1.2951412515886824</v>
      </c>
      <c r="AM156" s="491">
        <f t="shared" si="289"/>
        <v>46.000000000000007</v>
      </c>
      <c r="AN156" s="492">
        <f t="shared" si="290"/>
        <v>350</v>
      </c>
      <c r="AP156" s="59">
        <f t="shared" si="291"/>
        <v>46.000000000000007</v>
      </c>
      <c r="AQ156" s="59">
        <f t="shared" si="292"/>
        <v>350</v>
      </c>
      <c r="AS156" s="170">
        <f t="shared" si="263"/>
        <v>2.8571428571428572</v>
      </c>
      <c r="AT156" s="5">
        <f t="shared" si="293"/>
        <v>1.0582660182309314</v>
      </c>
      <c r="AU156" s="5">
        <f t="shared" si="230"/>
        <v>1.7988768389119258</v>
      </c>
      <c r="AV156" s="5"/>
      <c r="AW156" s="153">
        <f t="shared" si="231"/>
        <v>0.37039310638082595</v>
      </c>
      <c r="AX156" s="153">
        <f t="shared" si="259"/>
        <v>0.70472000000000001</v>
      </c>
      <c r="AY156" s="153">
        <f t="shared" si="260"/>
        <v>9.2146707922281024E-2</v>
      </c>
      <c r="AZ156" s="153">
        <f t="shared" si="264"/>
        <v>7.6478044185189944</v>
      </c>
      <c r="BA156" s="147">
        <f t="shared" si="294"/>
        <v>3.4876336995076449</v>
      </c>
      <c r="BB156" s="147">
        <f t="shared" si="295"/>
        <v>3.8737262646785027</v>
      </c>
      <c r="BC156" s="5">
        <f t="shared" si="258"/>
        <v>0.14145014459820274</v>
      </c>
      <c r="BD156" s="147">
        <f t="shared" si="296"/>
        <v>10.78568392178828</v>
      </c>
      <c r="BF156" s="153">
        <f t="shared" si="265"/>
        <v>0.10285162682217235</v>
      </c>
      <c r="BG156" s="153">
        <f t="shared" si="261"/>
        <v>0.13409557753233578</v>
      </c>
      <c r="BI156" s="463">
        <f t="shared" si="236"/>
        <v>3.7024599989885902E-3</v>
      </c>
      <c r="BJ156" s="463">
        <f t="shared" si="237"/>
        <v>1.450680064310265E-2</v>
      </c>
      <c r="BK156" s="463">
        <f t="shared" si="238"/>
        <v>4.3749999999999995E-3</v>
      </c>
      <c r="BL156" s="463">
        <f t="shared" si="239"/>
        <v>1.4035392000000001E-2</v>
      </c>
      <c r="BM156">
        <f t="shared" si="240"/>
        <v>3.7699999999999999E-3</v>
      </c>
      <c r="BN156">
        <f t="shared" si="297"/>
        <v>6.9999999999999999E-6</v>
      </c>
      <c r="BO156" s="463">
        <f t="shared" si="298"/>
        <v>4.092444038555202E-2</v>
      </c>
      <c r="BP156" s="147">
        <f t="shared" si="243"/>
        <v>40.389652642091249</v>
      </c>
      <c r="BQ156" s="463">
        <f t="shared" si="299"/>
        <v>3.1309960670090238E-2</v>
      </c>
      <c r="BT156" s="147">
        <f t="shared" si="245"/>
        <v>31.309960670090238</v>
      </c>
      <c r="BU156" s="463">
        <f t="shared" si="246"/>
        <v>1.0578457139967402E-2</v>
      </c>
      <c r="BV156" s="463">
        <f t="shared" si="247"/>
        <v>1.7981623913730677E-2</v>
      </c>
      <c r="BW156" s="463">
        <f t="shared" si="248"/>
        <v>0</v>
      </c>
      <c r="BX156" s="463"/>
      <c r="BY156" s="463">
        <f t="shared" si="249"/>
        <v>1.4994042553191492E-2</v>
      </c>
      <c r="BZ156" s="147">
        <f t="shared" si="250"/>
        <v>43.554123606889569</v>
      </c>
      <c r="CA156" s="153">
        <f t="shared" si="251"/>
        <v>0.11525373691907105</v>
      </c>
      <c r="CB156" s="5">
        <f t="shared" si="252"/>
        <v>0.69000000000000006</v>
      </c>
      <c r="CC156" s="153">
        <f t="shared" si="253"/>
        <v>0.85687276986750061</v>
      </c>
      <c r="CD156" s="5">
        <f t="shared" si="254"/>
        <v>85.687276986750064</v>
      </c>
      <c r="CG156" s="59">
        <f t="shared" si="300"/>
        <v>-50</v>
      </c>
      <c r="CH156">
        <f t="shared" si="301"/>
        <v>-50</v>
      </c>
    </row>
    <row r="157" spans="5:86" x14ac:dyDescent="0.25">
      <c r="E157" s="150">
        <v>47</v>
      </c>
      <c r="F157" s="191">
        <f t="shared" si="302"/>
        <v>4.7E-2</v>
      </c>
      <c r="G157" s="191"/>
      <c r="H157" s="191">
        <f t="shared" si="266"/>
        <v>0.70499999999999996</v>
      </c>
      <c r="I157" s="472">
        <f t="shared" si="267"/>
        <v>13</v>
      </c>
      <c r="J157" s="386">
        <f t="shared" si="268"/>
        <v>15.32</v>
      </c>
      <c r="K157" s="386">
        <f t="shared" si="269"/>
        <v>28.32</v>
      </c>
      <c r="L157" s="386"/>
      <c r="M157" s="191">
        <f t="shared" si="270"/>
        <v>0.54096045197740117</v>
      </c>
      <c r="N157" s="152">
        <f t="shared" si="271"/>
        <v>2.3997235845654528</v>
      </c>
      <c r="O157" s="152">
        <f t="shared" si="262"/>
        <v>0.70499999999999996</v>
      </c>
      <c r="P157" s="191">
        <f t="shared" si="272"/>
        <v>0.15998157230436352</v>
      </c>
      <c r="Q157" s="191">
        <f t="shared" si="273"/>
        <v>15</v>
      </c>
      <c r="R157" s="191"/>
      <c r="S157" s="152">
        <f t="shared" si="274"/>
        <v>80.402598345341403</v>
      </c>
      <c r="T157" s="152">
        <f t="shared" si="275"/>
        <v>15</v>
      </c>
      <c r="U157" s="191">
        <f t="shared" si="276"/>
        <v>0.22277565776260289</v>
      </c>
      <c r="V157" s="191">
        <f t="shared" si="277"/>
        <v>0.80541968575710265</v>
      </c>
      <c r="W157" s="191">
        <f t="shared" si="278"/>
        <v>0.68345012498970859</v>
      </c>
      <c r="X157" s="175">
        <f t="shared" si="279"/>
        <v>350</v>
      </c>
      <c r="Y157" s="386">
        <f t="shared" si="215"/>
        <v>350</v>
      </c>
      <c r="AA157" s="191">
        <f t="shared" si="280"/>
        <v>0.42750674016451157</v>
      </c>
      <c r="AB157" s="153">
        <f t="shared" si="281"/>
        <v>1.3115415657788541</v>
      </c>
      <c r="AC157" s="153">
        <f t="shared" si="282"/>
        <v>9.8121250390866027E-2</v>
      </c>
      <c r="AD157" s="153"/>
      <c r="AE157" s="153">
        <f t="shared" si="283"/>
        <v>0.46018276762402083</v>
      </c>
      <c r="AF157" s="317">
        <f t="shared" si="284"/>
        <v>1361.7777777777781</v>
      </c>
      <c r="AG157" s="463">
        <f t="shared" si="285"/>
        <v>1.2079797650130546E-2</v>
      </c>
      <c r="AI157" s="153">
        <f t="shared" si="286"/>
        <v>0.29587642207999126</v>
      </c>
      <c r="AJ157" s="153">
        <f t="shared" si="287"/>
        <v>0.29587642207999126</v>
      </c>
      <c r="AK157" s="153">
        <f t="shared" si="288"/>
        <v>1.2972509480533274</v>
      </c>
      <c r="AM157" s="317">
        <f t="shared" si="289"/>
        <v>47</v>
      </c>
      <c r="AN157" s="147">
        <f t="shared" si="290"/>
        <v>350</v>
      </c>
      <c r="AP157">
        <f t="shared" si="291"/>
        <v>47</v>
      </c>
      <c r="AQ157">
        <f t="shared" si="292"/>
        <v>350</v>
      </c>
      <c r="AS157" s="5">
        <f t="shared" si="263"/>
        <v>2.8571428571428572</v>
      </c>
      <c r="AT157" s="5">
        <f t="shared" si="293"/>
        <v>1.0697070644430453</v>
      </c>
      <c r="AU157" s="5">
        <f t="shared" si="230"/>
        <v>1.7874357926998119</v>
      </c>
      <c r="AV157" s="5"/>
      <c r="AW157" s="153">
        <f t="shared" si="231"/>
        <v>0.37439747255506584</v>
      </c>
      <c r="AX157" s="153">
        <f t="shared" si="259"/>
        <v>0.7200399999999999</v>
      </c>
      <c r="AY157" s="153">
        <f t="shared" si="260"/>
        <v>9.2550518732303327E-2</v>
      </c>
      <c r="AZ157" s="153">
        <f t="shared" si="264"/>
        <v>7.7799671991323054</v>
      </c>
      <c r="BA157" s="147">
        <f t="shared" si="294"/>
        <v>3.4876336995076449</v>
      </c>
      <c r="BB157" s="147">
        <f t="shared" si="295"/>
        <v>4.0409146118500985</v>
      </c>
      <c r="BC157" s="5">
        <f t="shared" si="258"/>
        <v>0.1436059525758823</v>
      </c>
      <c r="BD157" s="147">
        <f t="shared" si="296"/>
        <v>10.951215673960403</v>
      </c>
      <c r="BF157" s="153">
        <f t="shared" si="265"/>
        <v>0.10452403942719732</v>
      </c>
      <c r="BG157" s="153">
        <f t="shared" si="261"/>
        <v>0.13511357282957948</v>
      </c>
      <c r="BI157" s="463">
        <f t="shared" si="236"/>
        <v>3.8238461863624048E-3</v>
      </c>
      <c r="BJ157" s="463">
        <f t="shared" si="237"/>
        <v>1.4663635478284366E-2</v>
      </c>
      <c r="BK157" s="463">
        <f t="shared" si="238"/>
        <v>4.3749999999999995E-3</v>
      </c>
      <c r="BL157" s="463">
        <f t="shared" si="239"/>
        <v>1.4035392000000001E-2</v>
      </c>
      <c r="BM157">
        <f t="shared" si="240"/>
        <v>3.7699999999999999E-3</v>
      </c>
      <c r="BN157">
        <f t="shared" si="297"/>
        <v>6.9999999999999999E-6</v>
      </c>
      <c r="BO157" s="463">
        <f t="shared" si="298"/>
        <v>4.1220173716756243E-2</v>
      </c>
      <c r="BP157" s="147">
        <f t="shared" si="243"/>
        <v>40.667873664646777</v>
      </c>
      <c r="BQ157" s="463">
        <f t="shared" si="299"/>
        <v>3.1901337657959397E-2</v>
      </c>
      <c r="BT157" s="147">
        <f t="shared" si="245"/>
        <v>31.901337657959399</v>
      </c>
      <c r="BU157" s="463">
        <f t="shared" si="246"/>
        <v>1.09252748181783E-2</v>
      </c>
      <c r="BV157" s="463">
        <f t="shared" si="247"/>
        <v>1.8255677562774079E-2</v>
      </c>
      <c r="BW157" s="463">
        <f t="shared" si="248"/>
        <v>0</v>
      </c>
      <c r="BX157" s="463"/>
      <c r="BY157" s="463">
        <f t="shared" si="249"/>
        <v>1.5320000000000002E-2</v>
      </c>
      <c r="BZ157" s="147">
        <f t="shared" si="250"/>
        <v>44.500952380952377</v>
      </c>
      <c r="CA157" s="153">
        <f t="shared" si="251"/>
        <v>0.11707016370355855</v>
      </c>
      <c r="CB157" s="5">
        <f t="shared" si="252"/>
        <v>0.70499999999999996</v>
      </c>
      <c r="CC157" s="153">
        <f t="shared" si="253"/>
        <v>0.85759103191856689</v>
      </c>
      <c r="CD157" s="5">
        <f t="shared" si="254"/>
        <v>85.759103191856696</v>
      </c>
      <c r="CG157" s="59">
        <f t="shared" si="300"/>
        <v>-50</v>
      </c>
      <c r="CH157">
        <f t="shared" si="301"/>
        <v>-50</v>
      </c>
    </row>
    <row r="158" spans="5:86" x14ac:dyDescent="0.25">
      <c r="E158" s="150">
        <v>48</v>
      </c>
      <c r="F158" s="191">
        <f t="shared" si="302"/>
        <v>4.8000000000000001E-2</v>
      </c>
      <c r="G158" s="191"/>
      <c r="H158" s="191">
        <f t="shared" si="266"/>
        <v>0.72</v>
      </c>
      <c r="I158" s="472">
        <f t="shared" si="267"/>
        <v>13</v>
      </c>
      <c r="J158" s="386">
        <f t="shared" si="268"/>
        <v>15.32</v>
      </c>
      <c r="K158" s="386">
        <f t="shared" si="269"/>
        <v>28.32</v>
      </c>
      <c r="L158" s="386"/>
      <c r="M158" s="191">
        <f t="shared" si="270"/>
        <v>0.54096045197740117</v>
      </c>
      <c r="N158" s="152">
        <f t="shared" si="271"/>
        <v>2.3997235845654528</v>
      </c>
      <c r="O158" s="152">
        <f t="shared" si="262"/>
        <v>0.72</v>
      </c>
      <c r="P158" s="191">
        <f t="shared" si="272"/>
        <v>0.15998157230436352</v>
      </c>
      <c r="Q158" s="191">
        <f t="shared" si="273"/>
        <v>15</v>
      </c>
      <c r="R158" s="191"/>
      <c r="S158" s="152">
        <f t="shared" si="274"/>
        <v>78.459055913345509</v>
      </c>
      <c r="T158" s="152">
        <f t="shared" si="275"/>
        <v>15</v>
      </c>
      <c r="U158" s="191">
        <f t="shared" si="276"/>
        <v>0.22751556537457315</v>
      </c>
      <c r="V158" s="191">
        <f t="shared" si="277"/>
        <v>0.82255627481576443</v>
      </c>
      <c r="W158" s="191">
        <f t="shared" si="278"/>
        <v>0.69799161701076606</v>
      </c>
      <c r="X158" s="175">
        <f t="shared" si="279"/>
        <v>350</v>
      </c>
      <c r="Y158" s="386">
        <f t="shared" si="215"/>
        <v>350</v>
      </c>
      <c r="AA158" s="191">
        <f t="shared" si="280"/>
        <v>0.42750674016451157</v>
      </c>
      <c r="AB158" s="153">
        <f t="shared" si="281"/>
        <v>1.3115415657788541</v>
      </c>
      <c r="AC158" s="153">
        <f t="shared" si="282"/>
        <v>9.8121250390866027E-2</v>
      </c>
      <c r="AD158" s="153"/>
      <c r="AE158" s="153">
        <f t="shared" si="283"/>
        <v>0.46018276762402083</v>
      </c>
      <c r="AF158" s="317">
        <f t="shared" si="284"/>
        <v>1390.7517730496459</v>
      </c>
      <c r="AG158" s="463">
        <f t="shared" si="285"/>
        <v>1.2079797650130546E-2</v>
      </c>
      <c r="AI158" s="153">
        <f t="shared" si="286"/>
        <v>0.29900747670354338</v>
      </c>
      <c r="AJ158" s="153">
        <f t="shared" si="287"/>
        <v>0.29900747670354338</v>
      </c>
      <c r="AK158" s="153">
        <f t="shared" si="288"/>
        <v>1.2993383178023623</v>
      </c>
      <c r="AM158" s="317">
        <f t="shared" si="289"/>
        <v>48</v>
      </c>
      <c r="AN158" s="147">
        <f t="shared" si="290"/>
        <v>350</v>
      </c>
      <c r="AP158">
        <f t="shared" si="291"/>
        <v>48</v>
      </c>
      <c r="AQ158">
        <f t="shared" si="292"/>
        <v>350</v>
      </c>
      <c r="AS158" s="5">
        <f t="shared" si="263"/>
        <v>2.8571428571428572</v>
      </c>
      <c r="AT158" s="5">
        <f t="shared" si="293"/>
        <v>1.0810270311589647</v>
      </c>
      <c r="AU158" s="5">
        <f t="shared" si="230"/>
        <v>1.7761158259838925</v>
      </c>
      <c r="AV158" s="5"/>
      <c r="AW158" s="153">
        <f t="shared" si="231"/>
        <v>0.37835946090563766</v>
      </c>
      <c r="AX158" s="153">
        <f t="shared" si="259"/>
        <v>0.73535999999999968</v>
      </c>
      <c r="AY158" s="153">
        <f t="shared" si="260"/>
        <v>9.2937584505617843E-2</v>
      </c>
      <c r="AZ158" s="153">
        <f t="shared" si="264"/>
        <v>7.9124070623499909</v>
      </c>
      <c r="BA158" s="147">
        <f t="shared" si="294"/>
        <v>3.4876336995076449</v>
      </c>
      <c r="BB158" s="147">
        <f t="shared" si="295"/>
        <v>4.2116338912189359</v>
      </c>
      <c r="BC158" s="5">
        <f t="shared" si="258"/>
        <v>0.14573258059355015</v>
      </c>
      <c r="BD158" s="147">
        <f t="shared" si="296"/>
        <v>11.114558929131643</v>
      </c>
      <c r="BF158" s="153">
        <f t="shared" si="265"/>
        <v>0.10618757908645403</v>
      </c>
      <c r="BG158" s="153">
        <f t="shared" si="261"/>
        <v>0.13611032935073206</v>
      </c>
      <c r="BI158" s="463">
        <f t="shared" si="236"/>
        <v>3.9465306832846755E-3</v>
      </c>
      <c r="BJ158" s="463">
        <f t="shared" si="237"/>
        <v>1.4818810545427611E-2</v>
      </c>
      <c r="BK158" s="463">
        <f t="shared" si="238"/>
        <v>4.3749999999999995E-3</v>
      </c>
      <c r="BL158" s="463">
        <f t="shared" si="239"/>
        <v>1.4035392000000001E-2</v>
      </c>
      <c r="BM158">
        <f t="shared" si="240"/>
        <v>3.7699999999999999E-3</v>
      </c>
      <c r="BN158">
        <f t="shared" si="297"/>
        <v>6.9999999999999999E-6</v>
      </c>
      <c r="BO158" s="463">
        <f t="shared" si="298"/>
        <v>4.1515743933472564E-2</v>
      </c>
      <c r="BP158" s="147">
        <f t="shared" si="243"/>
        <v>40.945733228712292</v>
      </c>
      <c r="BQ158" s="463">
        <f t="shared" si="299"/>
        <v>3.2489880621557075E-2</v>
      </c>
      <c r="BT158" s="147">
        <f t="shared" si="245"/>
        <v>32.489880621557077</v>
      </c>
      <c r="BU158" s="463">
        <f t="shared" si="246"/>
        <v>1.127580195224193E-2</v>
      </c>
      <c r="BV158" s="463">
        <f t="shared" si="247"/>
        <v>1.8526021755964753E-2</v>
      </c>
      <c r="BW158" s="463">
        <f t="shared" si="248"/>
        <v>0</v>
      </c>
      <c r="BX158" s="463"/>
      <c r="BY158" s="463">
        <f t="shared" si="249"/>
        <v>1.5645957446808509E-2</v>
      </c>
      <c r="BZ158" s="147">
        <f t="shared" si="250"/>
        <v>45.447781155015186</v>
      </c>
      <c r="CA158" s="153">
        <f t="shared" si="251"/>
        <v>0.11888339500528455</v>
      </c>
      <c r="CB158" s="5">
        <f t="shared" si="252"/>
        <v>0.72</v>
      </c>
      <c r="CC158" s="153">
        <f t="shared" si="253"/>
        <v>0.8582837665960289</v>
      </c>
      <c r="CD158" s="5">
        <f t="shared" si="254"/>
        <v>85.828376659602895</v>
      </c>
      <c r="CG158" s="59">
        <f t="shared" si="300"/>
        <v>-50</v>
      </c>
      <c r="CH158">
        <f t="shared" si="301"/>
        <v>-50</v>
      </c>
    </row>
    <row r="159" spans="5:86" x14ac:dyDescent="0.25">
      <c r="E159" s="150">
        <v>49</v>
      </c>
      <c r="F159" s="191">
        <f t="shared" si="302"/>
        <v>4.9000000000000002E-2</v>
      </c>
      <c r="G159" s="191"/>
      <c r="H159" s="191">
        <f t="shared" si="266"/>
        <v>0.73499999999999999</v>
      </c>
      <c r="I159" s="472">
        <f t="shared" si="267"/>
        <v>13</v>
      </c>
      <c r="J159" s="386">
        <f t="shared" si="268"/>
        <v>15.32</v>
      </c>
      <c r="K159" s="386">
        <f t="shared" si="269"/>
        <v>28.32</v>
      </c>
      <c r="L159" s="386"/>
      <c r="M159" s="191">
        <f t="shared" si="270"/>
        <v>0.54096045197740117</v>
      </c>
      <c r="N159" s="152">
        <f t="shared" si="271"/>
        <v>2.3997235845654528</v>
      </c>
      <c r="O159" s="152">
        <f t="shared" si="262"/>
        <v>0.73499999999999999</v>
      </c>
      <c r="P159" s="191">
        <f t="shared" si="272"/>
        <v>0.15998157230436352</v>
      </c>
      <c r="Q159" s="191">
        <f t="shared" si="273"/>
        <v>15</v>
      </c>
      <c r="R159" s="191"/>
      <c r="S159" s="152">
        <f t="shared" si="274"/>
        <v>76.594902074387065</v>
      </c>
      <c r="T159" s="152">
        <f t="shared" si="275"/>
        <v>15</v>
      </c>
      <c r="U159" s="191">
        <f t="shared" si="276"/>
        <v>0.23225547298654342</v>
      </c>
      <c r="V159" s="191">
        <f t="shared" si="277"/>
        <v>0.8396928638744261</v>
      </c>
      <c r="W159" s="191">
        <f t="shared" si="278"/>
        <v>0.71253310903182376</v>
      </c>
      <c r="X159" s="175">
        <f t="shared" si="279"/>
        <v>350</v>
      </c>
      <c r="Y159" s="386">
        <f t="shared" si="215"/>
        <v>350</v>
      </c>
      <c r="AA159" s="191">
        <f t="shared" si="280"/>
        <v>0.42750674016451157</v>
      </c>
      <c r="AB159" s="153">
        <f t="shared" si="281"/>
        <v>1.3115415657788541</v>
      </c>
      <c r="AC159" s="153">
        <f t="shared" si="282"/>
        <v>9.8121250390866027E-2</v>
      </c>
      <c r="AD159" s="153"/>
      <c r="AE159" s="153">
        <f t="shared" si="283"/>
        <v>0.46018276762402083</v>
      </c>
      <c r="AF159" s="317">
        <f t="shared" si="284"/>
        <v>1419.7257683215134</v>
      </c>
      <c r="AG159" s="463">
        <f t="shared" si="285"/>
        <v>1.2079797650130546E-2</v>
      </c>
      <c r="AI159" s="153">
        <f t="shared" si="286"/>
        <v>0.30210608253787768</v>
      </c>
      <c r="AJ159" s="153">
        <f t="shared" si="287"/>
        <v>0.30210608253787768</v>
      </c>
      <c r="AK159" s="153">
        <f t="shared" si="288"/>
        <v>1.3014040550252517</v>
      </c>
      <c r="AM159" s="317">
        <f t="shared" si="289"/>
        <v>49</v>
      </c>
      <c r="AN159" s="147">
        <f t="shared" si="290"/>
        <v>350</v>
      </c>
      <c r="AP159">
        <f t="shared" si="291"/>
        <v>49</v>
      </c>
      <c r="AQ159">
        <f t="shared" si="292"/>
        <v>350</v>
      </c>
      <c r="AS159" s="5">
        <f t="shared" si="263"/>
        <v>2.8571428571428572</v>
      </c>
      <c r="AT159" s="5">
        <f t="shared" si="293"/>
        <v>1.0922296830215577</v>
      </c>
      <c r="AU159" s="5">
        <f t="shared" si="230"/>
        <v>1.7649131741212996</v>
      </c>
      <c r="AV159" s="5"/>
      <c r="AW159" s="153">
        <f t="shared" si="231"/>
        <v>0.38228038905754519</v>
      </c>
      <c r="AX159" s="153">
        <f t="shared" si="259"/>
        <v>0.7506799999999999</v>
      </c>
      <c r="AY159" s="153">
        <f t="shared" si="260"/>
        <v>9.3308425884323462E-2</v>
      </c>
      <c r="AZ159" s="153">
        <f t="shared" si="264"/>
        <v>8.0451469723713345</v>
      </c>
      <c r="BA159" s="147">
        <f t="shared" si="294"/>
        <v>3.4876336995076449</v>
      </c>
      <c r="BB159" s="147">
        <f t="shared" si="295"/>
        <v>4.3858841027850115</v>
      </c>
      <c r="BC159" s="5">
        <f t="shared" si="258"/>
        <v>0.14783033424263878</v>
      </c>
      <c r="BD159" s="147">
        <f t="shared" si="296"/>
        <v>11.275736606659446</v>
      </c>
      <c r="BF159" s="153">
        <f t="shared" si="265"/>
        <v>0.10784247629916087</v>
      </c>
      <c r="BG159" s="153">
        <f t="shared" si="261"/>
        <v>0.13708645206994713</v>
      </c>
      <c r="BI159" s="463">
        <f t="shared" si="236"/>
        <v>4.0704998930172756E-3</v>
      </c>
      <c r="BJ159" s="463">
        <f t="shared" si="237"/>
        <v>1.4972377450577218E-2</v>
      </c>
      <c r="BK159" s="463">
        <f t="shared" si="238"/>
        <v>4.3749999999999995E-3</v>
      </c>
      <c r="BL159" s="463">
        <f t="shared" si="239"/>
        <v>1.4035392000000001E-2</v>
      </c>
      <c r="BM159">
        <f t="shared" si="240"/>
        <v>3.7699999999999999E-3</v>
      </c>
      <c r="BN159">
        <f t="shared" si="297"/>
        <v>6.9999999999999999E-6</v>
      </c>
      <c r="BO159" s="463">
        <f t="shared" si="298"/>
        <v>4.1811187333144845E-2</v>
      </c>
      <c r="BP159" s="147">
        <f t="shared" si="243"/>
        <v>41.223269343594502</v>
      </c>
      <c r="BQ159" s="463">
        <f t="shared" si="299"/>
        <v>3.3075619240620205E-2</v>
      </c>
      <c r="BT159" s="147">
        <f t="shared" si="245"/>
        <v>33.075619240620206</v>
      </c>
      <c r="BU159" s="463">
        <f t="shared" si="246"/>
        <v>1.1629999694335074E-2</v>
      </c>
      <c r="BV159" s="463">
        <f t="shared" si="247"/>
        <v>1.879269534112591E-2</v>
      </c>
      <c r="BW159" s="463">
        <f t="shared" si="248"/>
        <v>0</v>
      </c>
      <c r="BX159" s="463"/>
      <c r="BY159" s="463">
        <f t="shared" si="249"/>
        <v>1.5971914893617021E-2</v>
      </c>
      <c r="BZ159" s="147">
        <f t="shared" si="250"/>
        <v>46.394609929078008</v>
      </c>
      <c r="CA159" s="153">
        <f t="shared" si="251"/>
        <v>0.12069349851329272</v>
      </c>
      <c r="CB159" s="5">
        <f t="shared" si="252"/>
        <v>0.73499999999999999</v>
      </c>
      <c r="CC159" s="153">
        <f t="shared" si="253"/>
        <v>0.85895241845007686</v>
      </c>
      <c r="CD159" s="5">
        <f t="shared" si="254"/>
        <v>85.895241845007689</v>
      </c>
      <c r="CG159" s="59">
        <f t="shared" si="300"/>
        <v>-50</v>
      </c>
      <c r="CH159">
        <f t="shared" si="301"/>
        <v>-50</v>
      </c>
    </row>
    <row r="160" spans="5:86" x14ac:dyDescent="0.25">
      <c r="E160" s="150">
        <v>50</v>
      </c>
      <c r="F160" s="191">
        <f t="shared" si="302"/>
        <v>0.05</v>
      </c>
      <c r="G160" s="191"/>
      <c r="H160" s="191">
        <f t="shared" si="266"/>
        <v>0.75</v>
      </c>
      <c r="I160" s="472">
        <f t="shared" si="267"/>
        <v>13</v>
      </c>
      <c r="J160" s="386">
        <f t="shared" si="268"/>
        <v>15.32</v>
      </c>
      <c r="K160" s="386">
        <f t="shared" si="269"/>
        <v>28.32</v>
      </c>
      <c r="L160" s="386"/>
      <c r="M160" s="191">
        <f t="shared" si="270"/>
        <v>0.54096045197740117</v>
      </c>
      <c r="N160" s="152">
        <f t="shared" si="271"/>
        <v>2.3997235845654528</v>
      </c>
      <c r="O160" s="152">
        <f t="shared" si="262"/>
        <v>0.75</v>
      </c>
      <c r="P160" s="191">
        <f t="shared" si="272"/>
        <v>0.15998157230436352</v>
      </c>
      <c r="Q160" s="191">
        <f t="shared" si="273"/>
        <v>15</v>
      </c>
      <c r="R160" s="191"/>
      <c r="S160" s="152">
        <f t="shared" si="274"/>
        <v>74.805374100293278</v>
      </c>
      <c r="T160" s="152">
        <f t="shared" si="275"/>
        <v>15</v>
      </c>
      <c r="U160" s="191">
        <f t="shared" si="276"/>
        <v>0.23699538059851372</v>
      </c>
      <c r="V160" s="191">
        <f t="shared" si="277"/>
        <v>0.85682945293308799</v>
      </c>
      <c r="W160" s="191">
        <f t="shared" si="278"/>
        <v>0.72707460105288135</v>
      </c>
      <c r="X160" s="175">
        <f t="shared" si="279"/>
        <v>350</v>
      </c>
      <c r="Y160" s="386">
        <f t="shared" si="215"/>
        <v>350</v>
      </c>
      <c r="AA160" s="191">
        <f t="shared" si="280"/>
        <v>0.42750674016451157</v>
      </c>
      <c r="AB160" s="153">
        <f t="shared" si="281"/>
        <v>1.3115415657788541</v>
      </c>
      <c r="AC160" s="153">
        <f t="shared" si="282"/>
        <v>9.8121250390866027E-2</v>
      </c>
      <c r="AD160" s="153"/>
      <c r="AE160" s="153">
        <f t="shared" si="283"/>
        <v>0.46018276762402083</v>
      </c>
      <c r="AF160" s="317">
        <f t="shared" si="284"/>
        <v>1448.699763593381</v>
      </c>
      <c r="AG160" s="463">
        <f t="shared" si="285"/>
        <v>1.2079797650130546E-2</v>
      </c>
      <c r="AI160" s="153">
        <f t="shared" si="286"/>
        <v>0.30517322800033736</v>
      </c>
      <c r="AJ160" s="153">
        <f t="shared" si="287"/>
        <v>0.30517322800033736</v>
      </c>
      <c r="AK160" s="153">
        <f t="shared" si="288"/>
        <v>1.3034488186668916</v>
      </c>
      <c r="AM160" s="317">
        <f t="shared" si="289"/>
        <v>50</v>
      </c>
      <c r="AN160" s="147">
        <f t="shared" si="290"/>
        <v>350</v>
      </c>
      <c r="AP160">
        <f t="shared" si="291"/>
        <v>50</v>
      </c>
      <c r="AQ160">
        <f t="shared" si="292"/>
        <v>350</v>
      </c>
      <c r="AS160" s="5">
        <f t="shared" si="263"/>
        <v>2.8571428571428572</v>
      </c>
      <c r="AT160" s="5">
        <f t="shared" si="293"/>
        <v>1.1033185935396812</v>
      </c>
      <c r="AU160" s="5">
        <f t="shared" si="230"/>
        <v>1.753824263603176</v>
      </c>
      <c r="AV160" s="5"/>
      <c r="AW160" s="153">
        <f t="shared" si="231"/>
        <v>0.38616150773888841</v>
      </c>
      <c r="AX160" s="153">
        <f t="shared" si="259"/>
        <v>0.7659999999999999</v>
      </c>
      <c r="AY160" s="153">
        <f t="shared" si="260"/>
        <v>9.3663537077091755E-2</v>
      </c>
      <c r="AZ160" s="153">
        <f t="shared" si="264"/>
        <v>8.1782091932907406</v>
      </c>
      <c r="BA160" s="147">
        <f t="shared" si="294"/>
        <v>3.4876336995076449</v>
      </c>
      <c r="BB160" s="147">
        <f t="shared" si="295"/>
        <v>4.5636652465483261</v>
      </c>
      <c r="BC160" s="5">
        <f t="shared" si="258"/>
        <v>0.14989950970967317</v>
      </c>
      <c r="BD160" s="147">
        <f t="shared" si="296"/>
        <v>11.434770920533181</v>
      </c>
      <c r="BF160" s="153">
        <f t="shared" si="265"/>
        <v>0.10948895100519677</v>
      </c>
      <c r="BG160" s="153">
        <f t="shared" si="261"/>
        <v>0.13804251508320514</v>
      </c>
      <c r="BI160" s="463">
        <f t="shared" si="236"/>
        <v>4.195740637276432E-3</v>
      </c>
      <c r="BJ160" s="463">
        <f t="shared" si="237"/>
        <v>1.5124385179696722E-2</v>
      </c>
      <c r="BK160" s="463">
        <f t="shared" si="238"/>
        <v>4.3749999999999995E-3</v>
      </c>
      <c r="BL160" s="463">
        <f t="shared" si="239"/>
        <v>1.4035392000000001E-2</v>
      </c>
      <c r="BM160">
        <f t="shared" si="240"/>
        <v>3.7699999999999999E-3</v>
      </c>
      <c r="BN160">
        <f t="shared" si="297"/>
        <v>6.9999999999999999E-6</v>
      </c>
      <c r="BO160" s="463">
        <f t="shared" si="298"/>
        <v>4.2106538069830841E-2</v>
      </c>
      <c r="BP160" s="147">
        <f t="shared" si="243"/>
        <v>41.500517816973158</v>
      </c>
      <c r="BQ160" s="463">
        <f t="shared" si="299"/>
        <v>3.3658582281459654E-2</v>
      </c>
      <c r="BT160" s="147">
        <f t="shared" si="245"/>
        <v>33.658582281459651</v>
      </c>
      <c r="BU160" s="463">
        <f t="shared" si="246"/>
        <v>1.1987830392218379E-2</v>
      </c>
      <c r="BV160" s="463">
        <f t="shared" si="247"/>
        <v>1.905573597049692E-2</v>
      </c>
      <c r="BW160" s="463">
        <f t="shared" si="248"/>
        <v>0</v>
      </c>
      <c r="BX160" s="463"/>
      <c r="BY160" s="463">
        <f t="shared" si="249"/>
        <v>1.6297872340425536E-2</v>
      </c>
      <c r="BZ160" s="147">
        <f t="shared" si="250"/>
        <v>47.341438703140838</v>
      </c>
      <c r="CA160" s="153">
        <f t="shared" si="251"/>
        <v>0.12250053880157365</v>
      </c>
      <c r="CB160" s="5">
        <f t="shared" si="252"/>
        <v>0.75</v>
      </c>
      <c r="CC160" s="153">
        <f t="shared" si="253"/>
        <v>0.85959832303389205</v>
      </c>
      <c r="CD160" s="5">
        <f t="shared" si="254"/>
        <v>85.959832303389206</v>
      </c>
      <c r="CG160" s="59">
        <f t="shared" si="300"/>
        <v>-50</v>
      </c>
      <c r="CH160">
        <f t="shared" si="301"/>
        <v>-50</v>
      </c>
    </row>
    <row r="161" spans="5:86" x14ac:dyDescent="0.25">
      <c r="E161" s="150">
        <v>51</v>
      </c>
      <c r="F161" s="191">
        <f t="shared" si="302"/>
        <v>5.1000000000000004E-2</v>
      </c>
      <c r="G161" s="191"/>
      <c r="H161" s="191">
        <f t="shared" si="266"/>
        <v>0.76500000000000001</v>
      </c>
      <c r="I161" s="472">
        <f t="shared" si="267"/>
        <v>13</v>
      </c>
      <c r="J161" s="386">
        <f t="shared" si="268"/>
        <v>15.32</v>
      </c>
      <c r="K161" s="386">
        <f t="shared" si="269"/>
        <v>28.32</v>
      </c>
      <c r="L161" s="386"/>
      <c r="M161" s="191">
        <f t="shared" si="270"/>
        <v>0.54096045197740117</v>
      </c>
      <c r="N161" s="152">
        <f t="shared" si="271"/>
        <v>2.3997235845654528</v>
      </c>
      <c r="O161" s="152">
        <f t="shared" si="262"/>
        <v>0.76500000000000001</v>
      </c>
      <c r="P161" s="191">
        <f t="shared" si="272"/>
        <v>0.15998157230436352</v>
      </c>
      <c r="Q161" s="191">
        <f t="shared" si="273"/>
        <v>15</v>
      </c>
      <c r="R161" s="191"/>
      <c r="S161" s="152">
        <f t="shared" si="274"/>
        <v>73.086082817571324</v>
      </c>
      <c r="T161" s="152">
        <f t="shared" si="275"/>
        <v>15</v>
      </c>
      <c r="U161" s="191">
        <f t="shared" si="276"/>
        <v>0.24173528821048398</v>
      </c>
      <c r="V161" s="191">
        <f t="shared" si="277"/>
        <v>0.87396604199174965</v>
      </c>
      <c r="W161" s="191">
        <f t="shared" si="278"/>
        <v>0.74161609307393905</v>
      </c>
      <c r="X161" s="175">
        <f t="shared" si="279"/>
        <v>350</v>
      </c>
      <c r="Y161" s="386">
        <f t="shared" si="215"/>
        <v>350</v>
      </c>
      <c r="AA161" s="191">
        <f t="shared" si="280"/>
        <v>0.42750674016451157</v>
      </c>
      <c r="AB161" s="153">
        <f t="shared" si="281"/>
        <v>1.3115415657788541</v>
      </c>
      <c r="AC161" s="153">
        <f t="shared" si="282"/>
        <v>9.8121250390866027E-2</v>
      </c>
      <c r="AD161" s="153"/>
      <c r="AE161" s="153">
        <f t="shared" si="283"/>
        <v>0.46018276762402083</v>
      </c>
      <c r="AF161" s="317">
        <f t="shared" si="284"/>
        <v>1477.6737588652486</v>
      </c>
      <c r="AG161" s="463">
        <f t="shared" si="285"/>
        <v>1.2079797650130546E-2</v>
      </c>
      <c r="AI161" s="153">
        <f t="shared" si="286"/>
        <v>0.30820985232453035</v>
      </c>
      <c r="AJ161" s="153">
        <f t="shared" si="287"/>
        <v>0.30820985232453035</v>
      </c>
      <c r="AK161" s="153">
        <f t="shared" si="288"/>
        <v>1.3054732348830203</v>
      </c>
      <c r="AM161" s="317">
        <f t="shared" si="289"/>
        <v>51.000000000000007</v>
      </c>
      <c r="AN161" s="147">
        <f t="shared" si="290"/>
        <v>350</v>
      </c>
      <c r="AP161">
        <f t="shared" si="291"/>
        <v>51.000000000000007</v>
      </c>
      <c r="AQ161">
        <f t="shared" si="292"/>
        <v>350</v>
      </c>
      <c r="AS161" s="5">
        <f t="shared" si="263"/>
        <v>2.8571428571428572</v>
      </c>
      <c r="AT161" s="5">
        <f t="shared" si="293"/>
        <v>1.1142971584040713</v>
      </c>
      <c r="AU161" s="5">
        <f t="shared" si="230"/>
        <v>1.7428456987387859</v>
      </c>
      <c r="AV161" s="5"/>
      <c r="AW161" s="153">
        <f t="shared" si="231"/>
        <v>0.39000400544142494</v>
      </c>
      <c r="AX161" s="153">
        <f t="shared" si="259"/>
        <v>0.7813199999999999</v>
      </c>
      <c r="AY161" s="153">
        <f t="shared" si="260"/>
        <v>9.4003387700726734E-2</v>
      </c>
      <c r="AZ161" s="153">
        <f t="shared" si="264"/>
        <v>8.3116153482408972</v>
      </c>
      <c r="BA161" s="147">
        <f t="shared" si="294"/>
        <v>3.4876336995076449</v>
      </c>
      <c r="BB161" s="147">
        <f t="shared" si="295"/>
        <v>4.7449773225088787</v>
      </c>
      <c r="BC161" s="5">
        <f t="shared" si="258"/>
        <v>0.15194039424902236</v>
      </c>
      <c r="BD161" s="147">
        <f t="shared" si="296"/>
        <v>11.591683414830523</v>
      </c>
      <c r="BF161" s="153">
        <f t="shared" si="265"/>
        <v>0.11112721326992128</v>
      </c>
      <c r="BG161" s="153">
        <f t="shared" si="261"/>
        <v>0.13897906375001609</v>
      </c>
      <c r="BI161" s="463">
        <f t="shared" si="236"/>
        <v>4.3222401351984989E-3</v>
      </c>
      <c r="BJ161" s="463">
        <f t="shared" si="237"/>
        <v>1.5274880281203725E-2</v>
      </c>
      <c r="BK161" s="463">
        <f t="shared" si="238"/>
        <v>4.3749999999999995E-3</v>
      </c>
      <c r="BL161" s="463">
        <f t="shared" si="239"/>
        <v>1.4035392000000001E-2</v>
      </c>
      <c r="BM161">
        <f t="shared" si="240"/>
        <v>3.7699999999999999E-3</v>
      </c>
      <c r="BN161">
        <f t="shared" si="297"/>
        <v>6.9999999999999999E-6</v>
      </c>
      <c r="BO161" s="463">
        <f t="shared" si="298"/>
        <v>4.2401828312777723E-2</v>
      </c>
      <c r="BP161" s="147">
        <f t="shared" si="243"/>
        <v>41.777512416402224</v>
      </c>
      <c r="BQ161" s="463">
        <f t="shared" si="299"/>
        <v>3.4238797642874914E-2</v>
      </c>
      <c r="BT161" s="147">
        <f t="shared" si="245"/>
        <v>34.238797642874914</v>
      </c>
      <c r="BU161" s="463">
        <f t="shared" si="246"/>
        <v>1.2349257529138569E-2</v>
      </c>
      <c r="BV161" s="463">
        <f t="shared" si="247"/>
        <v>1.9315180160831037E-2</v>
      </c>
      <c r="BW161" s="463">
        <f t="shared" si="248"/>
        <v>0</v>
      </c>
      <c r="BX161" s="463"/>
      <c r="BY161" s="463">
        <f t="shared" si="249"/>
        <v>1.6623829787234045E-2</v>
      </c>
      <c r="BZ161" s="147">
        <f t="shared" si="250"/>
        <v>48.288267477203647</v>
      </c>
      <c r="CA161" s="153">
        <f t="shared" si="251"/>
        <v>0.12430457753648079</v>
      </c>
      <c r="CB161" s="5">
        <f t="shared" si="252"/>
        <v>0.76500000000000001</v>
      </c>
      <c r="CC161" s="153">
        <f t="shared" si="253"/>
        <v>0.86022271707987286</v>
      </c>
      <c r="CD161" s="5">
        <f t="shared" si="254"/>
        <v>86.022271707987287</v>
      </c>
      <c r="CG161" s="59">
        <f t="shared" si="300"/>
        <v>-50</v>
      </c>
      <c r="CH161">
        <f t="shared" si="301"/>
        <v>-50</v>
      </c>
    </row>
    <row r="162" spans="5:86" x14ac:dyDescent="0.25">
      <c r="E162" s="150">
        <v>52</v>
      </c>
      <c r="F162" s="191">
        <f t="shared" si="302"/>
        <v>5.2000000000000005E-2</v>
      </c>
      <c r="G162" s="191"/>
      <c r="H162" s="191">
        <f t="shared" si="266"/>
        <v>0.78</v>
      </c>
      <c r="I162" s="472">
        <f t="shared" si="267"/>
        <v>13</v>
      </c>
      <c r="J162" s="386">
        <f t="shared" si="268"/>
        <v>15.32</v>
      </c>
      <c r="K162" s="386">
        <f t="shared" si="269"/>
        <v>28.32</v>
      </c>
      <c r="L162" s="386"/>
      <c r="M162" s="191">
        <f t="shared" si="270"/>
        <v>0.54096045197740117</v>
      </c>
      <c r="N162" s="152">
        <f t="shared" si="271"/>
        <v>2.3997235845654528</v>
      </c>
      <c r="O162" s="152">
        <f t="shared" si="262"/>
        <v>0.78</v>
      </c>
      <c r="P162" s="191">
        <f t="shared" si="272"/>
        <v>0.15998157230436352</v>
      </c>
      <c r="Q162" s="191">
        <f t="shared" si="273"/>
        <v>15</v>
      </c>
      <c r="R162" s="191"/>
      <c r="S162" s="152">
        <f t="shared" si="274"/>
        <v>71.432976688800537</v>
      </c>
      <c r="T162" s="152">
        <f t="shared" si="275"/>
        <v>15</v>
      </c>
      <c r="U162" s="191">
        <f t="shared" si="276"/>
        <v>0.24647519582245428</v>
      </c>
      <c r="V162" s="191">
        <f t="shared" si="277"/>
        <v>0.89110263105041154</v>
      </c>
      <c r="W162" s="191">
        <f t="shared" si="278"/>
        <v>0.75615758509499664</v>
      </c>
      <c r="X162" s="175">
        <f t="shared" si="279"/>
        <v>350</v>
      </c>
      <c r="Y162" s="386">
        <f t="shared" si="215"/>
        <v>350</v>
      </c>
      <c r="AA162" s="191">
        <f t="shared" si="280"/>
        <v>0.42750674016451157</v>
      </c>
      <c r="AB162" s="153">
        <f t="shared" si="281"/>
        <v>1.3115415657788541</v>
      </c>
      <c r="AC162" s="153">
        <f t="shared" si="282"/>
        <v>9.8121250390866027E-2</v>
      </c>
      <c r="AD162" s="153"/>
      <c r="AE162" s="153">
        <f t="shared" si="283"/>
        <v>0.46018276762402083</v>
      </c>
      <c r="AF162" s="317">
        <f t="shared" si="284"/>
        <v>1506.6477541371162</v>
      </c>
      <c r="AG162" s="463">
        <f t="shared" si="285"/>
        <v>1.2079797650130546E-2</v>
      </c>
      <c r="AI162" s="153">
        <f t="shared" si="286"/>
        <v>0.31121684891996404</v>
      </c>
      <c r="AJ162" s="153">
        <f t="shared" si="287"/>
        <v>0.31121684891996404</v>
      </c>
      <c r="AK162" s="153">
        <f t="shared" si="288"/>
        <v>1.307477899279976</v>
      </c>
      <c r="AM162" s="317">
        <f t="shared" si="289"/>
        <v>52.000000000000007</v>
      </c>
      <c r="AN162" s="147">
        <f t="shared" si="290"/>
        <v>350</v>
      </c>
      <c r="AP162">
        <f t="shared" si="291"/>
        <v>52.000000000000007</v>
      </c>
      <c r="AQ162">
        <f t="shared" si="292"/>
        <v>350</v>
      </c>
      <c r="AS162" s="5">
        <f t="shared" si="263"/>
        <v>2.8571428571428572</v>
      </c>
      <c r="AT162" s="5">
        <f t="shared" si="293"/>
        <v>1.125168607633716</v>
      </c>
      <c r="AU162" s="5">
        <f t="shared" si="230"/>
        <v>1.7319742495091413</v>
      </c>
      <c r="AV162" s="5"/>
      <c r="AW162" s="153">
        <f t="shared" si="231"/>
        <v>0.39380901267180057</v>
      </c>
      <c r="AX162" s="153">
        <f t="shared" si="259"/>
        <v>0.79663999999999979</v>
      </c>
      <c r="AY162" s="153">
        <f t="shared" si="260"/>
        <v>9.4328424459982033E-2</v>
      </c>
      <c r="AZ162" s="153">
        <f t="shared" si="264"/>
        <v>8.4453864734904691</v>
      </c>
      <c r="BA162" s="147">
        <f t="shared" si="294"/>
        <v>3.4876336995076449</v>
      </c>
      <c r="BB162" s="147">
        <f t="shared" si="295"/>
        <v>4.9298203306666686</v>
      </c>
      <c r="BC162" s="5">
        <f t="shared" si="258"/>
        <v>0.15395326662303477</v>
      </c>
      <c r="BD162" s="147">
        <f t="shared" si="296"/>
        <v>11.746494996727607</v>
      </c>
      <c r="BF162" s="153">
        <f t="shared" si="265"/>
        <v>0.11275746391204852</v>
      </c>
      <c r="BG162" s="153">
        <f t="shared" si="261"/>
        <v>0.13989661664724767</v>
      </c>
      <c r="BI162" s="463">
        <f t="shared" si="236"/>
        <v>4.4499859837569232E-3</v>
      </c>
      <c r="BJ162" s="463">
        <f t="shared" si="237"/>
        <v>1.5423907032473419E-2</v>
      </c>
      <c r="BK162" s="463">
        <f t="shared" si="238"/>
        <v>4.3749999999999995E-3</v>
      </c>
      <c r="BL162" s="463">
        <f t="shared" si="239"/>
        <v>1.4035392000000001E-2</v>
      </c>
      <c r="BM162">
        <f t="shared" si="240"/>
        <v>3.7699999999999999E-3</v>
      </c>
      <c r="BN162">
        <f t="shared" si="297"/>
        <v>6.9999999999999999E-6</v>
      </c>
      <c r="BO162" s="463">
        <f t="shared" si="298"/>
        <v>4.2697088390618906E-2</v>
      </c>
      <c r="BP162" s="147">
        <f t="shared" si="243"/>
        <v>42.054285016230338</v>
      </c>
      <c r="BQ162" s="463">
        <f t="shared" si="299"/>
        <v>3.4816292398901091E-2</v>
      </c>
      <c r="BT162" s="147">
        <f t="shared" si="245"/>
        <v>34.816292398901091</v>
      </c>
      <c r="BU162" s="463">
        <f t="shared" si="246"/>
        <v>1.2714245667876925E-2</v>
      </c>
      <c r="BV162" s="463">
        <f t="shared" si="247"/>
        <v>1.9571063349346975E-2</v>
      </c>
      <c r="BW162" s="463">
        <f t="shared" si="248"/>
        <v>0</v>
      </c>
      <c r="BX162" s="463"/>
      <c r="BY162" s="463">
        <f t="shared" si="249"/>
        <v>1.694978723404255E-2</v>
      </c>
      <c r="BZ162" s="147">
        <f t="shared" si="250"/>
        <v>49.235096251266448</v>
      </c>
      <c r="CA162" s="153">
        <f t="shared" si="251"/>
        <v>0.12610567366639788</v>
      </c>
      <c r="CB162" s="5">
        <f t="shared" si="252"/>
        <v>0.78</v>
      </c>
      <c r="CC162" s="153">
        <f t="shared" si="253"/>
        <v>0.86082674755127253</v>
      </c>
      <c r="CD162" s="5">
        <f t="shared" si="254"/>
        <v>86.082674755127258</v>
      </c>
      <c r="CG162" s="59">
        <f t="shared" si="300"/>
        <v>-50</v>
      </c>
      <c r="CH162">
        <f t="shared" si="301"/>
        <v>-50</v>
      </c>
    </row>
    <row r="163" spans="5:86" x14ac:dyDescent="0.25">
      <c r="E163" s="150">
        <v>53</v>
      </c>
      <c r="F163" s="191">
        <f t="shared" si="302"/>
        <v>5.3000000000000005E-2</v>
      </c>
      <c r="G163" s="191"/>
      <c r="H163" s="191">
        <f t="shared" si="266"/>
        <v>0.79500000000000004</v>
      </c>
      <c r="I163" s="472">
        <f t="shared" si="267"/>
        <v>13</v>
      </c>
      <c r="J163" s="386">
        <f t="shared" si="268"/>
        <v>15.32</v>
      </c>
      <c r="K163" s="386">
        <f t="shared" si="269"/>
        <v>28.32</v>
      </c>
      <c r="L163" s="386"/>
      <c r="M163" s="191">
        <f t="shared" si="270"/>
        <v>0.54096045197740117</v>
      </c>
      <c r="N163" s="152">
        <f t="shared" si="271"/>
        <v>2.3997235845654528</v>
      </c>
      <c r="O163" s="152">
        <f t="shared" si="262"/>
        <v>0.79500000000000004</v>
      </c>
      <c r="P163" s="191">
        <f t="shared" si="272"/>
        <v>0.15998157230436352</v>
      </c>
      <c r="Q163" s="191">
        <f t="shared" si="273"/>
        <v>15</v>
      </c>
      <c r="R163" s="191"/>
      <c r="S163" s="152">
        <f t="shared" si="274"/>
        <v>69.842309960283856</v>
      </c>
      <c r="T163" s="152">
        <f t="shared" si="275"/>
        <v>15</v>
      </c>
      <c r="U163" s="191">
        <f t="shared" si="276"/>
        <v>0.25121510343442455</v>
      </c>
      <c r="V163" s="191">
        <f t="shared" si="277"/>
        <v>0.90823922010907332</v>
      </c>
      <c r="W163" s="191">
        <f t="shared" si="278"/>
        <v>0.77069907711605434</v>
      </c>
      <c r="X163" s="175">
        <f t="shared" si="279"/>
        <v>350</v>
      </c>
      <c r="Y163" s="386">
        <f t="shared" si="215"/>
        <v>350</v>
      </c>
      <c r="AA163" s="191">
        <f t="shared" si="280"/>
        <v>0.42750674016451157</v>
      </c>
      <c r="AB163" s="153">
        <f t="shared" si="281"/>
        <v>1.3115415657788541</v>
      </c>
      <c r="AC163" s="153">
        <f t="shared" si="282"/>
        <v>9.8121250390866027E-2</v>
      </c>
      <c r="AD163" s="153"/>
      <c r="AE163" s="153">
        <f t="shared" si="283"/>
        <v>0.46018276762402083</v>
      </c>
      <c r="AF163" s="317">
        <f t="shared" si="284"/>
        <v>1535.6217494089838</v>
      </c>
      <c r="AG163" s="463">
        <f t="shared" si="285"/>
        <v>1.2079797650130546E-2</v>
      </c>
      <c r="AI163" s="153">
        <f t="shared" si="286"/>
        <v>0.31419506844225714</v>
      </c>
      <c r="AJ163" s="153">
        <f t="shared" si="287"/>
        <v>0.31419506844225714</v>
      </c>
      <c r="AK163" s="153">
        <f t="shared" si="288"/>
        <v>1.3094633789615047</v>
      </c>
      <c r="AM163" s="317">
        <f t="shared" si="289"/>
        <v>53.000000000000007</v>
      </c>
      <c r="AN163" s="147">
        <f t="shared" si="290"/>
        <v>350</v>
      </c>
      <c r="AP163">
        <f t="shared" si="291"/>
        <v>53.000000000000007</v>
      </c>
      <c r="AQ163">
        <f t="shared" si="292"/>
        <v>350</v>
      </c>
      <c r="AS163" s="5">
        <f t="shared" si="263"/>
        <v>2.8571428571428572</v>
      </c>
      <c r="AT163" s="5">
        <f t="shared" si="293"/>
        <v>1.1359360166758528</v>
      </c>
      <c r="AU163" s="5">
        <f t="shared" si="230"/>
        <v>1.7212068404670045</v>
      </c>
      <c r="AV163" s="5"/>
      <c r="AW163" s="153">
        <f t="shared" si="231"/>
        <v>0.39757760583654844</v>
      </c>
      <c r="AX163" s="153">
        <f t="shared" si="259"/>
        <v>0.8119599999999999</v>
      </c>
      <c r="AY163" s="153">
        <f t="shared" si="260"/>
        <v>9.4639072682667039E-2</v>
      </c>
      <c r="AZ163" s="153">
        <f t="shared" si="264"/>
        <v>8.5795430680367257</v>
      </c>
      <c r="BA163" s="147">
        <f t="shared" si="294"/>
        <v>3.4876336995076449</v>
      </c>
      <c r="BB163" s="147">
        <f t="shared" si="295"/>
        <v>5.1181942710216983</v>
      </c>
      <c r="BC163" s="5">
        <f t="shared" si="258"/>
        <v>0.15593839751239527</v>
      </c>
      <c r="BD163" s="147">
        <f t="shared" si="296"/>
        <v>11.899225967275799</v>
      </c>
      <c r="BF163" s="153">
        <f t="shared" si="265"/>
        <v>0.11437989508031268</v>
      </c>
      <c r="BG163" s="153">
        <f t="shared" si="261"/>
        <v>0.14079566735484042</v>
      </c>
      <c r="BI163" s="463">
        <f t="shared" si="236"/>
        <v>4.5789661395041681E-3</v>
      </c>
      <c r="BJ163" s="463">
        <f t="shared" si="237"/>
        <v>1.5571507591998265E-2</v>
      </c>
      <c r="BK163" s="463">
        <f t="shared" si="238"/>
        <v>4.3749999999999995E-3</v>
      </c>
      <c r="BL163" s="463">
        <f t="shared" si="239"/>
        <v>1.4035392000000001E-2</v>
      </c>
      <c r="BM163">
        <f t="shared" si="240"/>
        <v>3.7699999999999999E-3</v>
      </c>
      <c r="BN163">
        <f t="shared" si="297"/>
        <v>6.9999999999999999E-6</v>
      </c>
      <c r="BO163" s="463">
        <f t="shared" si="298"/>
        <v>4.2992346922736235E-2</v>
      </c>
      <c r="BP163" s="147">
        <f t="shared" si="243"/>
        <v>42.330865731502435</v>
      </c>
      <c r="BQ163" s="463">
        <f t="shared" si="299"/>
        <v>3.5391092838663693E-2</v>
      </c>
      <c r="BT163" s="147">
        <f t="shared" si="245"/>
        <v>35.391092838663695</v>
      </c>
      <c r="BU163" s="463">
        <f t="shared" si="246"/>
        <v>1.3082760398583337E-2</v>
      </c>
      <c r="BV163" s="463">
        <f t="shared" si="247"/>
        <v>1.9823419945894878E-2</v>
      </c>
      <c r="BW163" s="463">
        <f t="shared" si="248"/>
        <v>0</v>
      </c>
      <c r="BX163" s="463"/>
      <c r="BY163" s="463">
        <f t="shared" si="249"/>
        <v>1.7275744680851069E-2</v>
      </c>
      <c r="BZ163" s="147">
        <f t="shared" si="250"/>
        <v>50.181925025329285</v>
      </c>
      <c r="CA163" s="153">
        <f t="shared" si="251"/>
        <v>0.12790388359549543</v>
      </c>
      <c r="CB163" s="5">
        <f t="shared" si="252"/>
        <v>0.79500000000000004</v>
      </c>
      <c r="CC163" s="153">
        <f t="shared" si="253"/>
        <v>0.86141147971205734</v>
      </c>
      <c r="CD163" s="5">
        <f t="shared" si="254"/>
        <v>86.14114797120574</v>
      </c>
      <c r="CG163" s="59">
        <f t="shared" si="300"/>
        <v>-50</v>
      </c>
      <c r="CH163">
        <f t="shared" si="301"/>
        <v>-50</v>
      </c>
    </row>
    <row r="164" spans="5:86" x14ac:dyDescent="0.25">
      <c r="E164" s="150">
        <v>54</v>
      </c>
      <c r="F164" s="191">
        <f t="shared" si="302"/>
        <v>5.4000000000000006E-2</v>
      </c>
      <c r="G164" s="191"/>
      <c r="H164" s="191">
        <f t="shared" si="266"/>
        <v>0.81</v>
      </c>
      <c r="I164" s="472">
        <f t="shared" si="267"/>
        <v>13</v>
      </c>
      <c r="J164" s="386">
        <f t="shared" si="268"/>
        <v>15.32</v>
      </c>
      <c r="K164" s="386">
        <f t="shared" si="269"/>
        <v>28.32</v>
      </c>
      <c r="L164" s="386"/>
      <c r="M164" s="191">
        <f t="shared" si="270"/>
        <v>0.54096045197740117</v>
      </c>
      <c r="N164" s="152">
        <f t="shared" si="271"/>
        <v>2.3997235845654528</v>
      </c>
      <c r="O164" s="152">
        <f t="shared" si="262"/>
        <v>0.81</v>
      </c>
      <c r="P164" s="191">
        <f t="shared" si="272"/>
        <v>0.15998157230436352</v>
      </c>
      <c r="Q164" s="191">
        <f t="shared" si="273"/>
        <v>15</v>
      </c>
      <c r="R164" s="191"/>
      <c r="S164" s="152">
        <f t="shared" si="274"/>
        <v>68.310614348851004</v>
      </c>
      <c r="T164" s="152">
        <f t="shared" si="275"/>
        <v>15</v>
      </c>
      <c r="U164" s="191">
        <f t="shared" si="276"/>
        <v>0.25595501104639484</v>
      </c>
      <c r="V164" s="191">
        <f t="shared" si="277"/>
        <v>0.9253758091677351</v>
      </c>
      <c r="W164" s="191">
        <f t="shared" si="278"/>
        <v>0.78524056913711193</v>
      </c>
      <c r="X164" s="175">
        <f t="shared" si="279"/>
        <v>350</v>
      </c>
      <c r="Y164" s="386">
        <f t="shared" si="215"/>
        <v>350</v>
      </c>
      <c r="AA164" s="191">
        <f t="shared" si="280"/>
        <v>0.42750674016451157</v>
      </c>
      <c r="AB164" s="153">
        <f t="shared" si="281"/>
        <v>1.3115415657788541</v>
      </c>
      <c r="AC164" s="153">
        <f t="shared" si="282"/>
        <v>9.8121250390866027E-2</v>
      </c>
      <c r="AD164" s="153"/>
      <c r="AE164" s="153">
        <f t="shared" si="283"/>
        <v>0.46018276762402083</v>
      </c>
      <c r="AF164" s="317">
        <f t="shared" si="284"/>
        <v>1564.5957446808518</v>
      </c>
      <c r="AG164" s="463">
        <f t="shared" si="285"/>
        <v>1.2079797650130546E-2</v>
      </c>
      <c r="AI164" s="153">
        <f t="shared" si="286"/>
        <v>0.3171453216038313</v>
      </c>
      <c r="AJ164" s="153">
        <f t="shared" si="287"/>
        <v>0.3171453216038313</v>
      </c>
      <c r="AK164" s="153">
        <f t="shared" si="288"/>
        <v>1.3114302144025543</v>
      </c>
      <c r="AM164" s="317">
        <f t="shared" si="289"/>
        <v>54.000000000000007</v>
      </c>
      <c r="AN164" s="147">
        <f t="shared" si="290"/>
        <v>350</v>
      </c>
      <c r="AP164">
        <f t="shared" si="291"/>
        <v>54.000000000000007</v>
      </c>
      <c r="AQ164">
        <f t="shared" si="292"/>
        <v>350</v>
      </c>
      <c r="AS164" s="5">
        <f t="shared" si="263"/>
        <v>2.8571428571428572</v>
      </c>
      <c r="AT164" s="5">
        <f t="shared" si="293"/>
        <v>1.1466023165676977</v>
      </c>
      <c r="AU164" s="5">
        <f t="shared" si="230"/>
        <v>1.7105405405751595</v>
      </c>
      <c r="AV164" s="5"/>
      <c r="AW164" s="153">
        <f t="shared" si="231"/>
        <v>0.40131081079869418</v>
      </c>
      <c r="AX164" s="153">
        <f t="shared" si="259"/>
        <v>0.82728000000000013</v>
      </c>
      <c r="AY164" s="153">
        <f t="shared" si="260"/>
        <v>9.4935737724992558E-2</v>
      </c>
      <c r="AZ164" s="153">
        <f t="shared" si="264"/>
        <v>8.7141051391673372</v>
      </c>
      <c r="BA164" s="147">
        <f t="shared" si="294"/>
        <v>3.4876336995076449</v>
      </c>
      <c r="BB164" s="147">
        <f t="shared" si="295"/>
        <v>5.3100991435739671</v>
      </c>
      <c r="BC164" s="5">
        <f t="shared" si="258"/>
        <v>0.15789604989924549</v>
      </c>
      <c r="BD164" s="147">
        <f t="shared" si="296"/>
        <v>12.04989605013572</v>
      </c>
      <c r="BF164" s="153">
        <f t="shared" si="265"/>
        <v>0.11599469078398673</v>
      </c>
      <c r="BG164" s="153">
        <f t="shared" si="261"/>
        <v>0.14167668609076028</v>
      </c>
      <c r="BI164" s="463">
        <f t="shared" si="236"/>
        <v>4.7091689015254434E-3</v>
      </c>
      <c r="BJ164" s="463">
        <f t="shared" si="237"/>
        <v>1.5717722138685879E-2</v>
      </c>
      <c r="BK164" s="463">
        <f t="shared" si="238"/>
        <v>4.3749999999999995E-3</v>
      </c>
      <c r="BL164" s="463">
        <f t="shared" si="239"/>
        <v>1.4035392000000001E-2</v>
      </c>
      <c r="BM164">
        <f t="shared" si="240"/>
        <v>3.7699999999999999E-3</v>
      </c>
      <c r="BN164">
        <f t="shared" si="297"/>
        <v>6.9999999999999999E-6</v>
      </c>
      <c r="BO164" s="463">
        <f t="shared" si="298"/>
        <v>4.3287630939140821E-2</v>
      </c>
      <c r="BP164" s="147">
        <f t="shared" si="243"/>
        <v>42.607283040211321</v>
      </c>
      <c r="BQ164" s="463">
        <f t="shared" si="299"/>
        <v>3.5963224503588118E-2</v>
      </c>
      <c r="BT164" s="147">
        <f t="shared" si="245"/>
        <v>35.963224503588116</v>
      </c>
      <c r="BU164" s="463">
        <f t="shared" si="246"/>
        <v>1.3454768290072697E-2</v>
      </c>
      <c r="BV164" s="463">
        <f t="shared" si="247"/>
        <v>2.0072283381659829E-2</v>
      </c>
      <c r="BW164" s="463">
        <f t="shared" si="248"/>
        <v>0</v>
      </c>
      <c r="BX164" s="463"/>
      <c r="BY164" s="463">
        <f t="shared" si="249"/>
        <v>1.7601702127659578E-2</v>
      </c>
      <c r="BZ164" s="147">
        <f t="shared" si="250"/>
        <v>51.128753799392108</v>
      </c>
      <c r="CA164" s="153">
        <f t="shared" si="251"/>
        <v>0.12969926134319154</v>
      </c>
      <c r="CB164" s="5">
        <f t="shared" si="252"/>
        <v>0.81</v>
      </c>
      <c r="CC164" s="153">
        <f t="shared" si="253"/>
        <v>0.86197790433739252</v>
      </c>
      <c r="CD164" s="5">
        <f t="shared" si="254"/>
        <v>86.197790433739257</v>
      </c>
      <c r="CG164" s="59">
        <f t="shared" si="300"/>
        <v>-50</v>
      </c>
      <c r="CH164">
        <f t="shared" si="301"/>
        <v>-50</v>
      </c>
    </row>
    <row r="165" spans="5:86" x14ac:dyDescent="0.25">
      <c r="E165" s="150">
        <v>55</v>
      </c>
      <c r="F165" s="191">
        <f t="shared" si="302"/>
        <v>5.5000000000000007E-2</v>
      </c>
      <c r="G165" s="191"/>
      <c r="H165" s="191">
        <f t="shared" si="266"/>
        <v>0.82500000000000007</v>
      </c>
      <c r="I165" s="472">
        <f t="shared" si="267"/>
        <v>13</v>
      </c>
      <c r="J165" s="386">
        <f t="shared" si="268"/>
        <v>15.32</v>
      </c>
      <c r="K165" s="386">
        <f t="shared" si="269"/>
        <v>28.32</v>
      </c>
      <c r="L165" s="386"/>
      <c r="M165" s="191">
        <f t="shared" si="270"/>
        <v>0.54096045197740117</v>
      </c>
      <c r="N165" s="152">
        <f t="shared" si="271"/>
        <v>2.3997235845654528</v>
      </c>
      <c r="O165" s="152">
        <f t="shared" si="262"/>
        <v>0.82500000000000007</v>
      </c>
      <c r="P165" s="191">
        <f t="shared" si="272"/>
        <v>0.15998157230436352</v>
      </c>
      <c r="Q165" s="191">
        <f t="shared" si="273"/>
        <v>15</v>
      </c>
      <c r="R165" s="191"/>
      <c r="S165" s="152">
        <f t="shared" si="274"/>
        <v>66.834673817376014</v>
      </c>
      <c r="T165" s="152">
        <f t="shared" si="275"/>
        <v>15</v>
      </c>
      <c r="U165" s="191">
        <f t="shared" si="276"/>
        <v>0.26069491865836508</v>
      </c>
      <c r="V165" s="191">
        <f t="shared" si="277"/>
        <v>0.94251239822639687</v>
      </c>
      <c r="W165" s="191">
        <f t="shared" si="278"/>
        <v>0.79978206115816963</v>
      </c>
      <c r="X165" s="175">
        <f t="shared" si="279"/>
        <v>350</v>
      </c>
      <c r="Y165" s="386">
        <f t="shared" si="215"/>
        <v>350</v>
      </c>
      <c r="AA165" s="191">
        <f t="shared" si="280"/>
        <v>0.42750674016451157</v>
      </c>
      <c r="AB165" s="153">
        <f t="shared" si="281"/>
        <v>1.3115415657788541</v>
      </c>
      <c r="AC165" s="153">
        <f t="shared" si="282"/>
        <v>9.8121250390866027E-2</v>
      </c>
      <c r="AD165" s="153"/>
      <c r="AE165" s="153">
        <f t="shared" si="283"/>
        <v>0.46018276762402083</v>
      </c>
      <c r="AF165" s="317">
        <f t="shared" si="284"/>
        <v>1593.5697399527194</v>
      </c>
      <c r="AG165" s="463">
        <f t="shared" si="285"/>
        <v>1.2079797650130546E-2</v>
      </c>
      <c r="AI165" s="153">
        <f t="shared" si="286"/>
        <v>0.3200683817514009</v>
      </c>
      <c r="AJ165" s="153">
        <f t="shared" si="287"/>
        <v>0.3200683817514009</v>
      </c>
      <c r="AK165" s="153">
        <f t="shared" si="288"/>
        <v>1.3133789211676006</v>
      </c>
      <c r="AM165" s="317">
        <f t="shared" si="289"/>
        <v>55.000000000000007</v>
      </c>
      <c r="AN165" s="147">
        <f t="shared" si="290"/>
        <v>350</v>
      </c>
      <c r="AP165">
        <f t="shared" si="291"/>
        <v>55.000000000000007</v>
      </c>
      <c r="AQ165">
        <f t="shared" si="292"/>
        <v>350</v>
      </c>
      <c r="AS165" s="5">
        <f t="shared" si="263"/>
        <v>2.8571428571428572</v>
      </c>
      <c r="AT165" s="5">
        <f t="shared" si="293"/>
        <v>1.1571703032550649</v>
      </c>
      <c r="AU165" s="5">
        <f t="shared" si="230"/>
        <v>1.6999725538877923</v>
      </c>
      <c r="AV165" s="5"/>
      <c r="AW165" s="153">
        <f t="shared" si="231"/>
        <v>0.40500960613927267</v>
      </c>
      <c r="AX165" s="153">
        <f t="shared" si="259"/>
        <v>0.84260000000000013</v>
      </c>
      <c r="AY165" s="153">
        <f t="shared" si="260"/>
        <v>9.5218806260315814E-2</v>
      </c>
      <c r="AZ165" s="153">
        <f t="shared" si="264"/>
        <v>8.849092244408542</v>
      </c>
      <c r="BA165" s="147">
        <f t="shared" si="294"/>
        <v>3.4876336995076449</v>
      </c>
      <c r="BB165" s="147">
        <f t="shared" si="295"/>
        <v>5.5055349483234739</v>
      </c>
      <c r="BC165" s="5">
        <f t="shared" si="258"/>
        <v>0.159826479425348</v>
      </c>
      <c r="BD165" s="147">
        <f t="shared" si="296"/>
        <v>12.198524418439563</v>
      </c>
      <c r="BF165" s="153">
        <f t="shared" si="265"/>
        <v>0.11760202738173296</v>
      </c>
      <c r="BG165" s="153">
        <f t="shared" si="261"/>
        <v>0.14254012121046117</v>
      </c>
      <c r="BI165" s="463">
        <f t="shared" si="236"/>
        <v>4.8405828955028546E-3</v>
      </c>
      <c r="BJ165" s="463">
        <f t="shared" si="237"/>
        <v>1.5862588999599431E-2</v>
      </c>
      <c r="BK165" s="463">
        <f t="shared" si="238"/>
        <v>4.3749999999999995E-3</v>
      </c>
      <c r="BL165" s="463">
        <f t="shared" si="239"/>
        <v>1.4035392000000001E-2</v>
      </c>
      <c r="BM165">
        <f t="shared" si="240"/>
        <v>3.7699999999999999E-3</v>
      </c>
      <c r="BN165">
        <f t="shared" si="297"/>
        <v>6.9999999999999999E-6</v>
      </c>
      <c r="BO165" s="463">
        <f t="shared" si="298"/>
        <v>4.3582965990061069E-2</v>
      </c>
      <c r="BP165" s="147">
        <f t="shared" si="243"/>
        <v>42.883563895102291</v>
      </c>
      <c r="BQ165" s="463">
        <f t="shared" si="299"/>
        <v>3.6532712222185432E-2</v>
      </c>
      <c r="BT165" s="147">
        <f t="shared" si="245"/>
        <v>36.532712222185431</v>
      </c>
      <c r="BU165" s="463">
        <f t="shared" si="246"/>
        <v>1.383023684429387E-2</v>
      </c>
      <c r="BV165" s="463">
        <f t="shared" si="247"/>
        <v>2.0317686154692961E-2</v>
      </c>
      <c r="BW165" s="463">
        <f t="shared" si="248"/>
        <v>0</v>
      </c>
      <c r="BX165" s="463"/>
      <c r="BY165" s="463">
        <f t="shared" si="249"/>
        <v>1.792765957446809E-2</v>
      </c>
      <c r="BZ165" s="147">
        <f t="shared" si="250"/>
        <v>52.075582573454923</v>
      </c>
      <c r="CA165" s="153">
        <f t="shared" si="251"/>
        <v>0.13149185869074265</v>
      </c>
      <c r="CB165" s="5">
        <f t="shared" si="252"/>
        <v>0.82500000000000007</v>
      </c>
      <c r="CC165" s="153">
        <f t="shared" si="253"/>
        <v>0.86252694416998987</v>
      </c>
      <c r="CD165" s="5">
        <f t="shared" si="254"/>
        <v>86.252694416998992</v>
      </c>
      <c r="CG165" s="59">
        <f t="shared" si="300"/>
        <v>-50</v>
      </c>
      <c r="CH165">
        <f t="shared" si="301"/>
        <v>-50</v>
      </c>
    </row>
    <row r="166" spans="5:86" x14ac:dyDescent="0.25">
      <c r="E166" s="150">
        <v>56</v>
      </c>
      <c r="F166" s="191">
        <f t="shared" si="302"/>
        <v>5.6000000000000008E-2</v>
      </c>
      <c r="G166" s="191"/>
      <c r="H166" s="191">
        <f t="shared" si="266"/>
        <v>0.84000000000000008</v>
      </c>
      <c r="I166" s="472">
        <f t="shared" si="267"/>
        <v>13</v>
      </c>
      <c r="J166" s="386">
        <f t="shared" si="268"/>
        <v>15.32</v>
      </c>
      <c r="K166" s="386">
        <f t="shared" si="269"/>
        <v>28.32</v>
      </c>
      <c r="L166" s="386"/>
      <c r="M166" s="191">
        <f t="shared" si="270"/>
        <v>0.54096045197740117</v>
      </c>
      <c r="N166" s="152">
        <f t="shared" si="271"/>
        <v>2.3997235845654528</v>
      </c>
      <c r="O166" s="152">
        <f t="shared" si="262"/>
        <v>0.84000000000000008</v>
      </c>
      <c r="P166" s="191">
        <f t="shared" si="272"/>
        <v>0.15998157230436352</v>
      </c>
      <c r="Q166" s="191">
        <f t="shared" si="273"/>
        <v>15</v>
      </c>
      <c r="R166" s="191"/>
      <c r="S166" s="152">
        <f t="shared" si="274"/>
        <v>65.411502052919886</v>
      </c>
      <c r="T166" s="152">
        <f t="shared" si="275"/>
        <v>15</v>
      </c>
      <c r="U166" s="191">
        <f t="shared" si="276"/>
        <v>0.26543482627033538</v>
      </c>
      <c r="V166" s="191">
        <f t="shared" si="277"/>
        <v>0.95964898728505854</v>
      </c>
      <c r="W166" s="191">
        <f t="shared" si="278"/>
        <v>0.81432355317922722</v>
      </c>
      <c r="X166" s="175">
        <f t="shared" si="279"/>
        <v>350</v>
      </c>
      <c r="Y166" s="386">
        <f t="shared" si="215"/>
        <v>350</v>
      </c>
      <c r="AA166" s="191">
        <f t="shared" si="280"/>
        <v>0.42750674016451157</v>
      </c>
      <c r="AB166" s="153">
        <f t="shared" si="281"/>
        <v>1.3115415657788541</v>
      </c>
      <c r="AC166" s="153">
        <f t="shared" si="282"/>
        <v>9.8121250390866027E-2</v>
      </c>
      <c r="AD166" s="153"/>
      <c r="AE166" s="153">
        <f t="shared" si="283"/>
        <v>0.46018276762402083</v>
      </c>
      <c r="AF166" s="317">
        <f t="shared" si="284"/>
        <v>1622.543735224587</v>
      </c>
      <c r="AG166" s="463">
        <f t="shared" si="285"/>
        <v>1.2079797650130546E-2</v>
      </c>
      <c r="AI166" s="153">
        <f t="shared" si="286"/>
        <v>0.32296498723348233</v>
      </c>
      <c r="AJ166" s="153">
        <f t="shared" si="287"/>
        <v>0.32296498723348233</v>
      </c>
      <c r="AK166" s="153">
        <f t="shared" si="288"/>
        <v>1.3153099914889881</v>
      </c>
      <c r="AM166" s="317">
        <f t="shared" si="289"/>
        <v>56.000000000000007</v>
      </c>
      <c r="AN166" s="147">
        <f t="shared" si="290"/>
        <v>350</v>
      </c>
      <c r="AP166">
        <f t="shared" si="291"/>
        <v>56.000000000000007</v>
      </c>
      <c r="AQ166">
        <f t="shared" si="292"/>
        <v>350</v>
      </c>
      <c r="AS166" s="5">
        <f t="shared" si="263"/>
        <v>2.8571428571428572</v>
      </c>
      <c r="AT166" s="5">
        <f t="shared" si="293"/>
        <v>1.1676426461518206</v>
      </c>
      <c r="AU166" s="5">
        <f t="shared" si="230"/>
        <v>1.6895002109910366</v>
      </c>
      <c r="AV166" s="5"/>
      <c r="AW166" s="153">
        <f t="shared" si="231"/>
        <v>0.40867492615313716</v>
      </c>
      <c r="AX166" s="153">
        <f t="shared" si="259"/>
        <v>0.8579199999999999</v>
      </c>
      <c r="AY166" s="153">
        <f t="shared" si="260"/>
        <v>9.5488647462895024E-2</v>
      </c>
      <c r="AZ166" s="153">
        <f t="shared" si="264"/>
        <v>8.9845235302277207</v>
      </c>
      <c r="BA166" s="147">
        <f t="shared" si="294"/>
        <v>3.4876336995076449</v>
      </c>
      <c r="BB166" s="147">
        <f t="shared" si="295"/>
        <v>5.7045016852702197</v>
      </c>
      <c r="BC166" s="5">
        <f t="shared" si="258"/>
        <v>0.16172993472734709</v>
      </c>
      <c r="BD166" s="147">
        <f t="shared" si="296"/>
        <v>12.345129719935647</v>
      </c>
      <c r="BF166" s="153">
        <f t="shared" si="265"/>
        <v>0.11920207403275419</v>
      </c>
      <c r="BG166" s="153">
        <f t="shared" si="261"/>
        <v>0.14338640058433338</v>
      </c>
      <c r="BI166" s="463">
        <f t="shared" si="236"/>
        <v>4.973197058798574E-3</v>
      </c>
      <c r="BJ166" s="463">
        <f t="shared" si="237"/>
        <v>1.6006144767291387E-2</v>
      </c>
      <c r="BK166" s="463">
        <f t="shared" si="238"/>
        <v>4.3749999999999995E-3</v>
      </c>
      <c r="BL166" s="463">
        <f t="shared" si="239"/>
        <v>1.4035392000000001E-2</v>
      </c>
      <c r="BM166">
        <f t="shared" si="240"/>
        <v>3.7699999999999999E-3</v>
      </c>
      <c r="BN166">
        <f t="shared" si="297"/>
        <v>6.9999999999999999E-6</v>
      </c>
      <c r="BO166" s="463">
        <f t="shared" si="298"/>
        <v>4.3878376246285107E-2</v>
      </c>
      <c r="BP166" s="147">
        <f t="shared" si="243"/>
        <v>43.159733826089962</v>
      </c>
      <c r="BQ166" s="463">
        <f t="shared" si="299"/>
        <v>3.7099580142613629E-2</v>
      </c>
      <c r="BT166" s="147">
        <f t="shared" si="245"/>
        <v>37.099580142613632</v>
      </c>
      <c r="BU166" s="463">
        <f t="shared" si="246"/>
        <v>1.4209134453710212E-2</v>
      </c>
      <c r="BV166" s="463">
        <f t="shared" si="247"/>
        <v>2.055965987253092E-2</v>
      </c>
      <c r="BW166" s="463">
        <f t="shared" si="248"/>
        <v>0</v>
      </c>
      <c r="BX166" s="463"/>
      <c r="BY166" s="463">
        <f t="shared" si="249"/>
        <v>1.8253617021276598E-2</v>
      </c>
      <c r="BZ166" s="147">
        <f t="shared" si="250"/>
        <v>53.022411347517732</v>
      </c>
      <c r="CA166" s="153">
        <f t="shared" si="251"/>
        <v>0.13328172531622132</v>
      </c>
      <c r="CB166" s="5">
        <f t="shared" si="252"/>
        <v>0.84000000000000008</v>
      </c>
      <c r="CC166" s="153">
        <f t="shared" si="253"/>
        <v>0.86305945971304687</v>
      </c>
      <c r="CD166" s="5">
        <f t="shared" si="254"/>
        <v>86.305945971304681</v>
      </c>
      <c r="CG166" s="59">
        <f t="shared" si="300"/>
        <v>-50</v>
      </c>
      <c r="CH166">
        <f t="shared" si="301"/>
        <v>-50</v>
      </c>
    </row>
    <row r="167" spans="5:86" x14ac:dyDescent="0.25">
      <c r="E167" s="150">
        <v>57</v>
      </c>
      <c r="F167" s="191">
        <f t="shared" si="302"/>
        <v>5.6999999999999995E-2</v>
      </c>
      <c r="G167" s="191"/>
      <c r="H167" s="191">
        <f t="shared" si="266"/>
        <v>0.85499999999999998</v>
      </c>
      <c r="I167" s="472">
        <f t="shared" si="267"/>
        <v>13</v>
      </c>
      <c r="J167" s="386">
        <f t="shared" si="268"/>
        <v>15.32</v>
      </c>
      <c r="K167" s="386">
        <f t="shared" si="269"/>
        <v>28.32</v>
      </c>
      <c r="L167" s="386"/>
      <c r="M167" s="191">
        <f t="shared" si="270"/>
        <v>0.54096045197740117</v>
      </c>
      <c r="N167" s="152">
        <f t="shared" si="271"/>
        <v>2.3997235845654528</v>
      </c>
      <c r="O167" s="152">
        <f t="shared" si="262"/>
        <v>0.85499999999999998</v>
      </c>
      <c r="P167" s="191">
        <f t="shared" si="272"/>
        <v>0.15998157230436352</v>
      </c>
      <c r="Q167" s="191">
        <f t="shared" si="273"/>
        <v>15</v>
      </c>
      <c r="R167" s="191"/>
      <c r="S167" s="152">
        <f t="shared" si="274"/>
        <v>64.038322315596872</v>
      </c>
      <c r="T167" s="152">
        <f t="shared" si="275"/>
        <v>15</v>
      </c>
      <c r="U167" s="191">
        <f t="shared" si="276"/>
        <v>0.27017473388230562</v>
      </c>
      <c r="V167" s="191">
        <f t="shared" si="277"/>
        <v>0.97678557634372032</v>
      </c>
      <c r="W167" s="191">
        <f t="shared" si="278"/>
        <v>0.82886504520028481</v>
      </c>
      <c r="X167" s="175">
        <f t="shared" si="279"/>
        <v>350</v>
      </c>
      <c r="Y167" s="386">
        <f t="shared" si="215"/>
        <v>350</v>
      </c>
      <c r="AA167" s="191">
        <f t="shared" si="280"/>
        <v>0.42750674016451157</v>
      </c>
      <c r="AB167" s="153">
        <f t="shared" si="281"/>
        <v>1.3115415657788541</v>
      </c>
      <c r="AC167" s="153">
        <f t="shared" si="282"/>
        <v>9.8121250390866027E-2</v>
      </c>
      <c r="AD167" s="153"/>
      <c r="AE167" s="153">
        <f t="shared" si="283"/>
        <v>0.46018276762402083</v>
      </c>
      <c r="AF167" s="317">
        <f t="shared" si="284"/>
        <v>1651.5177304964541</v>
      </c>
      <c r="AG167" s="463">
        <f t="shared" si="285"/>
        <v>1.2079797650130546E-2</v>
      </c>
      <c r="AI167" s="153">
        <f t="shared" si="286"/>
        <v>0.32583584357845946</v>
      </c>
      <c r="AJ167" s="153">
        <f t="shared" si="287"/>
        <v>0.32583584357845946</v>
      </c>
      <c r="AK167" s="153">
        <f t="shared" si="288"/>
        <v>1.317223895718973</v>
      </c>
      <c r="AM167" s="317">
        <f t="shared" si="289"/>
        <v>56.999999999999993</v>
      </c>
      <c r="AN167" s="147">
        <f t="shared" si="290"/>
        <v>350</v>
      </c>
      <c r="AP167">
        <f t="shared" si="291"/>
        <v>56.999999999999993</v>
      </c>
      <c r="AQ167">
        <f t="shared" si="292"/>
        <v>350</v>
      </c>
      <c r="AS167" s="5">
        <f t="shared" si="263"/>
        <v>2.8571428571428572</v>
      </c>
      <c r="AT167" s="5">
        <f t="shared" si="293"/>
        <v>1.1780218960144304</v>
      </c>
      <c r="AU167" s="5">
        <f t="shared" si="230"/>
        <v>1.6791209611284268</v>
      </c>
      <c r="AV167" s="5"/>
      <c r="AW167" s="153">
        <f t="shared" si="231"/>
        <v>0.41230766360505061</v>
      </c>
      <c r="AX167" s="153">
        <f t="shared" si="259"/>
        <v>0.87323999999999968</v>
      </c>
      <c r="AY167" s="153">
        <f t="shared" si="260"/>
        <v>9.5745614096922046E-2</v>
      </c>
      <c r="AZ167" s="153">
        <f t="shared" si="264"/>
        <v>9.1204177678157681</v>
      </c>
      <c r="BA167" s="147">
        <f t="shared" si="294"/>
        <v>3.4876336995076449</v>
      </c>
      <c r="BB167" s="147">
        <f t="shared" si="295"/>
        <v>5.9069993544142019</v>
      </c>
      <c r="BC167" s="5">
        <f t="shared" si="258"/>
        <v>0.16360665775097491</v>
      </c>
      <c r="BD167" s="147">
        <f t="shared" si="296"/>
        <v>12.489730100553887</v>
      </c>
      <c r="BF167" s="153">
        <f t="shared" si="265"/>
        <v>0.12079499311377359</v>
      </c>
      <c r="BG167" s="153">
        <f t="shared" si="261"/>
        <v>0.14421593286505768</v>
      </c>
      <c r="BI167" s="463">
        <f t="shared" si="236"/>
        <v>5.1070006264748126E-3</v>
      </c>
      <c r="BJ167" s="463">
        <f t="shared" si="237"/>
        <v>1.6148424407748451E-2</v>
      </c>
      <c r="BK167" s="463">
        <f t="shared" si="238"/>
        <v>4.3749999999999995E-3</v>
      </c>
      <c r="BL167" s="463">
        <f t="shared" si="239"/>
        <v>1.4035392000000001E-2</v>
      </c>
      <c r="BM167">
        <f t="shared" si="240"/>
        <v>3.7699999999999999E-3</v>
      </c>
      <c r="BN167">
        <f t="shared" si="297"/>
        <v>6.9999999999999999E-6</v>
      </c>
      <c r="BO167" s="463">
        <f t="shared" si="298"/>
        <v>4.4173884591181212E-2</v>
      </c>
      <c r="BP167" s="147">
        <f t="shared" si="243"/>
        <v>43.43581703422327</v>
      </c>
      <c r="BQ167" s="463">
        <f t="shared" si="299"/>
        <v>3.7663851763194062E-2</v>
      </c>
      <c r="BT167" s="147">
        <f t="shared" si="245"/>
        <v>37.66385176319406</v>
      </c>
      <c r="BU167" s="463">
        <f t="shared" si="246"/>
        <v>1.4591430361356609E-2</v>
      </c>
      <c r="BV167" s="463">
        <f t="shared" si="247"/>
        <v>2.0798235292138825E-2</v>
      </c>
      <c r="BW167" s="463">
        <f t="shared" si="248"/>
        <v>0</v>
      </c>
      <c r="BX167" s="463"/>
      <c r="BY167" s="463">
        <f t="shared" si="249"/>
        <v>1.8579574468085103E-2</v>
      </c>
      <c r="BZ167" s="147">
        <f t="shared" si="250"/>
        <v>53.96924012158054</v>
      </c>
      <c r="CA167" s="153">
        <f t="shared" si="251"/>
        <v>0.13506890891899789</v>
      </c>
      <c r="CB167" s="5">
        <f t="shared" si="252"/>
        <v>0.85499999999999998</v>
      </c>
      <c r="CC167" s="153">
        <f t="shared" si="253"/>
        <v>0.86357625443821651</v>
      </c>
      <c r="CD167" s="5">
        <f t="shared" si="254"/>
        <v>86.357625443821647</v>
      </c>
      <c r="CG167" s="59">
        <f t="shared" si="300"/>
        <v>-50</v>
      </c>
      <c r="CH167">
        <f t="shared" si="301"/>
        <v>-50</v>
      </c>
    </row>
    <row r="168" spans="5:86" x14ac:dyDescent="0.25">
      <c r="E168" s="150">
        <v>58</v>
      </c>
      <c r="F168" s="191">
        <f t="shared" si="302"/>
        <v>5.7999999999999996E-2</v>
      </c>
      <c r="G168" s="191"/>
      <c r="H168" s="191">
        <f t="shared" si="266"/>
        <v>0.86999999999999988</v>
      </c>
      <c r="I168" s="472">
        <f t="shared" si="267"/>
        <v>13</v>
      </c>
      <c r="J168" s="386">
        <f t="shared" si="268"/>
        <v>15.32</v>
      </c>
      <c r="K168" s="386">
        <f t="shared" si="269"/>
        <v>28.32</v>
      </c>
      <c r="L168" s="386"/>
      <c r="M168" s="191">
        <f t="shared" si="270"/>
        <v>0.54096045197740117</v>
      </c>
      <c r="N168" s="152">
        <f t="shared" si="271"/>
        <v>2.3997235845654528</v>
      </c>
      <c r="O168" s="152">
        <f t="shared" si="262"/>
        <v>0.86999999999999988</v>
      </c>
      <c r="P168" s="191">
        <f t="shared" si="272"/>
        <v>0.15998157230436352</v>
      </c>
      <c r="Q168" s="191">
        <f t="shared" si="273"/>
        <v>15</v>
      </c>
      <c r="R168" s="191"/>
      <c r="S168" s="152">
        <f t="shared" si="274"/>
        <v>62.712549372042766</v>
      </c>
      <c r="T168" s="152">
        <f t="shared" si="275"/>
        <v>15</v>
      </c>
      <c r="U168" s="191">
        <f t="shared" si="276"/>
        <v>0.27491464149427586</v>
      </c>
      <c r="V168" s="191">
        <f t="shared" si="277"/>
        <v>0.99392216540238187</v>
      </c>
      <c r="W168" s="191">
        <f t="shared" si="278"/>
        <v>0.84340653722134229</v>
      </c>
      <c r="X168" s="175">
        <f t="shared" si="279"/>
        <v>350</v>
      </c>
      <c r="Y168" s="386">
        <f t="shared" si="215"/>
        <v>350</v>
      </c>
      <c r="AA168" s="191">
        <f t="shared" si="280"/>
        <v>0.42750674016451157</v>
      </c>
      <c r="AB168" s="153">
        <f t="shared" si="281"/>
        <v>1.3115415657788541</v>
      </c>
      <c r="AC168" s="153">
        <f t="shared" si="282"/>
        <v>9.8121250390866027E-2</v>
      </c>
      <c r="AD168" s="153"/>
      <c r="AE168" s="153">
        <f t="shared" si="283"/>
        <v>0.46018276762402083</v>
      </c>
      <c r="AF168" s="317">
        <f t="shared" si="284"/>
        <v>1680.4917257683219</v>
      </c>
      <c r="AG168" s="463">
        <f t="shared" si="285"/>
        <v>1.2079797650130546E-2</v>
      </c>
      <c r="AI168" s="153">
        <f t="shared" si="286"/>
        <v>0.32868162550141011</v>
      </c>
      <c r="AJ168" s="153">
        <f t="shared" si="287"/>
        <v>0.32868162550141011</v>
      </c>
      <c r="AK168" s="153">
        <f t="shared" si="288"/>
        <v>1.3191210836676066</v>
      </c>
      <c r="AM168" s="317">
        <f t="shared" si="289"/>
        <v>57.999999999999993</v>
      </c>
      <c r="AN168" s="147">
        <f t="shared" si="290"/>
        <v>350</v>
      </c>
      <c r="AP168">
        <f t="shared" si="291"/>
        <v>57.999999999999993</v>
      </c>
      <c r="AQ168">
        <f t="shared" si="292"/>
        <v>350</v>
      </c>
      <c r="AS168" s="5">
        <f t="shared" si="263"/>
        <v>2.8571428571428572</v>
      </c>
      <c r="AT168" s="5">
        <f t="shared" si="293"/>
        <v>1.1883104921974057</v>
      </c>
      <c r="AU168" s="5">
        <f t="shared" si="230"/>
        <v>1.6688323649454515</v>
      </c>
      <c r="AV168" s="5"/>
      <c r="AW168" s="153">
        <f t="shared" si="231"/>
        <v>0.41590867226909201</v>
      </c>
      <c r="AX168" s="153">
        <f t="shared" si="259"/>
        <v>0.88855999999999968</v>
      </c>
      <c r="AY168" s="153">
        <f t="shared" si="260"/>
        <v>9.5990043519935855E-2</v>
      </c>
      <c r="AZ168" s="153">
        <f t="shared" si="264"/>
        <v>9.2567933862375806</v>
      </c>
      <c r="BA168" s="147">
        <f t="shared" si="294"/>
        <v>3.4876336995076449</v>
      </c>
      <c r="BB168" s="147">
        <f t="shared" si="295"/>
        <v>6.1130279557554248</v>
      </c>
      <c r="BC168" s="5">
        <f t="shared" si="258"/>
        <v>0.1654568840458738</v>
      </c>
      <c r="BD168" s="147">
        <f t="shared" si="296"/>
        <v>12.63234322651746</v>
      </c>
      <c r="BF168" s="153">
        <f t="shared" si="265"/>
        <v>0.12238094060498415</v>
      </c>
      <c r="BG168" s="153">
        <f t="shared" si="261"/>
        <v>0.14502910865543192</v>
      </c>
      <c r="BI168" s="463">
        <f t="shared" si="236"/>
        <v>5.2419831181762305E-3</v>
      </c>
      <c r="BJ168" s="463">
        <f t="shared" si="237"/>
        <v>1.6289461359849884E-2</v>
      </c>
      <c r="BK168" s="463">
        <f t="shared" si="238"/>
        <v>4.3749999999999995E-3</v>
      </c>
      <c r="BL168" s="463">
        <f t="shared" si="239"/>
        <v>1.4035392000000001E-2</v>
      </c>
      <c r="BM168">
        <f t="shared" si="240"/>
        <v>3.7699999999999999E-3</v>
      </c>
      <c r="BN168">
        <f t="shared" si="297"/>
        <v>6.9999999999999999E-6</v>
      </c>
      <c r="BO168" s="463">
        <f t="shared" si="298"/>
        <v>4.4469512705214216E-2</v>
      </c>
      <c r="BP168" s="147">
        <f t="shared" si="243"/>
        <v>43.711836478026115</v>
      </c>
      <c r="BQ168" s="463">
        <f t="shared" si="299"/>
        <v>3.8225549961045255E-2</v>
      </c>
      <c r="BT168" s="147">
        <f t="shared" si="245"/>
        <v>38.225549961045253</v>
      </c>
      <c r="BU168" s="463">
        <f t="shared" si="246"/>
        <v>1.497709462336066E-2</v>
      </c>
      <c r="BV168" s="463">
        <f t="shared" si="247"/>
        <v>2.103344235738908E-2</v>
      </c>
      <c r="BW168" s="463">
        <f t="shared" si="248"/>
        <v>0</v>
      </c>
      <c r="BX168" s="463"/>
      <c r="BY168" s="463">
        <f t="shared" si="249"/>
        <v>1.8905531914893615E-2</v>
      </c>
      <c r="BZ168" s="147">
        <f t="shared" si="250"/>
        <v>54.916068895643356</v>
      </c>
      <c r="CA168" s="153">
        <f t="shared" si="251"/>
        <v>0.13685345533471471</v>
      </c>
      <c r="CB168" s="5">
        <f t="shared" si="252"/>
        <v>0.86999999999999988</v>
      </c>
      <c r="CC168" s="153">
        <f t="shared" si="253"/>
        <v>0.86407807947660098</v>
      </c>
      <c r="CD168" s="5">
        <f t="shared" si="254"/>
        <v>86.407807947660103</v>
      </c>
      <c r="CG168" s="59">
        <f t="shared" si="300"/>
        <v>-50</v>
      </c>
      <c r="CH168">
        <f t="shared" si="301"/>
        <v>-50</v>
      </c>
    </row>
    <row r="169" spans="5:86" x14ac:dyDescent="0.25">
      <c r="E169" s="150">
        <v>59</v>
      </c>
      <c r="F169" s="191">
        <f t="shared" si="302"/>
        <v>5.8999999999999997E-2</v>
      </c>
      <c r="G169" s="191"/>
      <c r="H169" s="191">
        <f t="shared" si="266"/>
        <v>0.88500000000000001</v>
      </c>
      <c r="I169" s="472">
        <f t="shared" si="267"/>
        <v>13</v>
      </c>
      <c r="J169" s="386">
        <f t="shared" si="268"/>
        <v>15.32</v>
      </c>
      <c r="K169" s="386">
        <f t="shared" si="269"/>
        <v>28.32</v>
      </c>
      <c r="L169" s="386"/>
      <c r="M169" s="191">
        <f t="shared" si="270"/>
        <v>0.54096045197740117</v>
      </c>
      <c r="N169" s="152">
        <f t="shared" si="271"/>
        <v>2.3997235845654528</v>
      </c>
      <c r="O169" s="152">
        <f t="shared" si="262"/>
        <v>0.88500000000000001</v>
      </c>
      <c r="P169" s="191">
        <f t="shared" si="272"/>
        <v>0.15998157230436352</v>
      </c>
      <c r="Q169" s="191">
        <f t="shared" si="273"/>
        <v>15</v>
      </c>
      <c r="R169" s="191"/>
      <c r="S169" s="152">
        <f t="shared" si="274"/>
        <v>61.431773266159638</v>
      </c>
      <c r="T169" s="152">
        <f t="shared" si="275"/>
        <v>15</v>
      </c>
      <c r="U169" s="191">
        <f t="shared" si="276"/>
        <v>0.27965454910624615</v>
      </c>
      <c r="V169" s="191">
        <f t="shared" si="277"/>
        <v>1.0110587544610437</v>
      </c>
      <c r="W169" s="191">
        <f t="shared" si="278"/>
        <v>0.85794802924239999</v>
      </c>
      <c r="X169" s="175">
        <f t="shared" si="279"/>
        <v>350</v>
      </c>
      <c r="Y169" s="386">
        <f t="shared" si="215"/>
        <v>350</v>
      </c>
      <c r="AA169" s="191">
        <f t="shared" si="280"/>
        <v>0.42750674016451157</v>
      </c>
      <c r="AB169" s="153">
        <f t="shared" si="281"/>
        <v>1.3115415657788541</v>
      </c>
      <c r="AC169" s="153">
        <f t="shared" si="282"/>
        <v>9.8121250390866027E-2</v>
      </c>
      <c r="AD169" s="153"/>
      <c r="AE169" s="153">
        <f t="shared" si="283"/>
        <v>0.46018276762402083</v>
      </c>
      <c r="AF169" s="317">
        <f t="shared" si="284"/>
        <v>1709.4657210401895</v>
      </c>
      <c r="AG169" s="463">
        <f t="shared" si="285"/>
        <v>1.2079797650130546E-2</v>
      </c>
      <c r="AI169" s="153">
        <f t="shared" si="286"/>
        <v>0.33150297875586598</v>
      </c>
      <c r="AJ169" s="153">
        <f t="shared" si="287"/>
        <v>0.33150297875586598</v>
      </c>
      <c r="AK169" s="153">
        <f t="shared" si="288"/>
        <v>1.3210019858372439</v>
      </c>
      <c r="AM169" s="317">
        <f t="shared" si="289"/>
        <v>59</v>
      </c>
      <c r="AN169" s="147">
        <f t="shared" si="290"/>
        <v>350</v>
      </c>
      <c r="AP169">
        <f t="shared" si="291"/>
        <v>59</v>
      </c>
      <c r="AQ169">
        <f t="shared" si="292"/>
        <v>350</v>
      </c>
      <c r="AS169" s="5">
        <f t="shared" si="263"/>
        <v>2.8571428571428572</v>
      </c>
      <c r="AT169" s="5">
        <f t="shared" si="293"/>
        <v>1.1985107693481307</v>
      </c>
      <c r="AU169" s="5">
        <f t="shared" si="230"/>
        <v>1.6586320877947265</v>
      </c>
      <c r="AV169" s="5"/>
      <c r="AW169" s="153">
        <f t="shared" si="231"/>
        <v>0.41947876927184574</v>
      </c>
      <c r="AX169" s="153">
        <f t="shared" si="259"/>
        <v>0.90387999999999968</v>
      </c>
      <c r="AY169" s="153">
        <f t="shared" si="260"/>
        <v>9.6222258608702232E-2</v>
      </c>
      <c r="AZ169" s="153">
        <f t="shared" si="264"/>
        <v>9.393668503206948</v>
      </c>
      <c r="BA169" s="147">
        <f t="shared" si="294"/>
        <v>3.4876336995076449</v>
      </c>
      <c r="BB169" s="147">
        <f t="shared" si="295"/>
        <v>6.3225874892938867</v>
      </c>
      <c r="BC169" s="5">
        <f t="shared" si="258"/>
        <v>0.16728084304254506</v>
      </c>
      <c r="BD169" s="147">
        <f t="shared" si="296"/>
        <v>12.772986305113957</v>
      </c>
      <c r="BF169" s="153">
        <f t="shared" si="265"/>
        <v>0.1239600664477718</v>
      </c>
      <c r="BG169" s="153">
        <f t="shared" si="261"/>
        <v>0.14582630158605833</v>
      </c>
      <c r="BI169" s="463">
        <f t="shared" si="236"/>
        <v>5.3781343258075993E-3</v>
      </c>
      <c r="BJ169" s="463">
        <f t="shared" si="237"/>
        <v>1.6429287627140719E-2</v>
      </c>
      <c r="BK169" s="463">
        <f t="shared" si="238"/>
        <v>4.3749999999999995E-3</v>
      </c>
      <c r="BL169" s="463">
        <f t="shared" si="239"/>
        <v>1.4035392000000001E-2</v>
      </c>
      <c r="BM169">
        <f t="shared" si="240"/>
        <v>3.7699999999999999E-3</v>
      </c>
      <c r="BN169">
        <f t="shared" si="297"/>
        <v>6.9999999999999999E-6</v>
      </c>
      <c r="BO169" s="463">
        <f t="shared" si="298"/>
        <v>4.4765281143682591E-2</v>
      </c>
      <c r="BP169" s="147">
        <f t="shared" si="243"/>
        <v>43.987813952948322</v>
      </c>
      <c r="BQ169" s="463">
        <f t="shared" si="299"/>
        <v>3.8784697018980782E-2</v>
      </c>
      <c r="BT169" s="147">
        <f t="shared" si="245"/>
        <v>38.784697018980779</v>
      </c>
      <c r="BU169" s="463">
        <f t="shared" si="246"/>
        <v>1.5366098073736E-2</v>
      </c>
      <c r="BV169" s="463">
        <f t="shared" si="247"/>
        <v>2.1265310234268038E-2</v>
      </c>
      <c r="BW169" s="463">
        <f t="shared" si="248"/>
        <v>0</v>
      </c>
      <c r="BX169" s="463"/>
      <c r="BY169" s="463">
        <f t="shared" si="249"/>
        <v>1.9231489361702127E-2</v>
      </c>
      <c r="BZ169" s="147">
        <f t="shared" si="250"/>
        <v>55.862897669706157</v>
      </c>
      <c r="CA169" s="153">
        <f t="shared" si="251"/>
        <v>0.13863540864163529</v>
      </c>
      <c r="CB169" s="5">
        <f t="shared" si="252"/>
        <v>0.88500000000000001</v>
      </c>
      <c r="CC169" s="153">
        <f t="shared" si="253"/>
        <v>0.86456563785185536</v>
      </c>
      <c r="CD169" s="5">
        <f t="shared" si="254"/>
        <v>86.456563785185537</v>
      </c>
      <c r="CG169" s="59">
        <f t="shared" si="300"/>
        <v>-50</v>
      </c>
      <c r="CH169">
        <f t="shared" si="301"/>
        <v>-50</v>
      </c>
    </row>
    <row r="170" spans="5:86" x14ac:dyDescent="0.25">
      <c r="E170" s="150">
        <v>60</v>
      </c>
      <c r="F170" s="191">
        <f t="shared" si="302"/>
        <v>0.06</v>
      </c>
      <c r="G170" s="191"/>
      <c r="H170" s="191">
        <f t="shared" si="266"/>
        <v>0.89999999999999991</v>
      </c>
      <c r="I170" s="472">
        <f t="shared" si="267"/>
        <v>13</v>
      </c>
      <c r="J170" s="386">
        <f t="shared" si="268"/>
        <v>15.32</v>
      </c>
      <c r="K170" s="386">
        <f t="shared" si="269"/>
        <v>28.32</v>
      </c>
      <c r="L170" s="386"/>
      <c r="M170" s="191">
        <f t="shared" si="270"/>
        <v>0.54096045197740117</v>
      </c>
      <c r="N170" s="152">
        <f t="shared" si="271"/>
        <v>2.3997235845654528</v>
      </c>
      <c r="O170" s="152">
        <f t="shared" si="262"/>
        <v>0.89999999999999991</v>
      </c>
      <c r="P170" s="191">
        <f t="shared" si="272"/>
        <v>0.15998157230436352</v>
      </c>
      <c r="Q170" s="191">
        <f t="shared" si="273"/>
        <v>15</v>
      </c>
      <c r="R170" s="191"/>
      <c r="S170" s="152">
        <f t="shared" si="274"/>
        <v>60.19374471278789</v>
      </c>
      <c r="T170" s="152">
        <f t="shared" si="275"/>
        <v>15</v>
      </c>
      <c r="U170" s="191">
        <f t="shared" si="276"/>
        <v>0.28439445671821645</v>
      </c>
      <c r="V170" s="191">
        <f t="shared" si="277"/>
        <v>1.0281953435197055</v>
      </c>
      <c r="W170" s="191">
        <f t="shared" si="278"/>
        <v>0.87248952126345769</v>
      </c>
      <c r="X170" s="175">
        <f t="shared" si="279"/>
        <v>350</v>
      </c>
      <c r="Y170" s="386">
        <f t="shared" ref="Y170:Y210" si="303">MIN(1/(V170+W170)*1000, 350)</f>
        <v>350</v>
      </c>
      <c r="AA170" s="191">
        <f t="shared" si="280"/>
        <v>0.42750674016451157</v>
      </c>
      <c r="AB170" s="153">
        <f t="shared" si="281"/>
        <v>1.3115415657788541</v>
      </c>
      <c r="AC170" s="153">
        <f t="shared" si="282"/>
        <v>9.8121250390866027E-2</v>
      </c>
      <c r="AD170" s="153"/>
      <c r="AE170" s="153">
        <f t="shared" si="283"/>
        <v>0.46018276762402083</v>
      </c>
      <c r="AF170" s="317">
        <f t="shared" si="284"/>
        <v>1738.439716312057</v>
      </c>
      <c r="AG170" s="463">
        <f t="shared" si="285"/>
        <v>1.2079797650130546E-2</v>
      </c>
      <c r="AI170" s="153">
        <f t="shared" si="286"/>
        <v>0.33430052184490389</v>
      </c>
      <c r="AJ170" s="153">
        <f t="shared" si="287"/>
        <v>0.33430052184490389</v>
      </c>
      <c r="AK170" s="153">
        <f t="shared" si="288"/>
        <v>1.3228670145632693</v>
      </c>
      <c r="AM170" s="317">
        <f t="shared" si="289"/>
        <v>60</v>
      </c>
      <c r="AN170" s="147">
        <f t="shared" si="290"/>
        <v>350</v>
      </c>
      <c r="AP170">
        <f t="shared" si="291"/>
        <v>60</v>
      </c>
      <c r="AQ170">
        <f t="shared" si="292"/>
        <v>350</v>
      </c>
      <c r="AS170" s="5">
        <f t="shared" si="263"/>
        <v>2.8571428571428572</v>
      </c>
      <c r="AT170" s="5">
        <f t="shared" si="293"/>
        <v>1.2086249635931139</v>
      </c>
      <c r="AU170" s="5">
        <f t="shared" ref="AU170:AU233" si="304">AS170-AT170</f>
        <v>1.6485178935497433</v>
      </c>
      <c r="AV170" s="5"/>
      <c r="AW170" s="153">
        <f t="shared" ref="AW170:AW233" si="305">AT170/AS170</f>
        <v>0.42301873725758987</v>
      </c>
      <c r="AX170" s="153">
        <f t="shared" si="259"/>
        <v>0.9191999999999998</v>
      </c>
      <c r="AY170" s="153">
        <f t="shared" si="260"/>
        <v>9.6442568614759652E-2</v>
      </c>
      <c r="AZ170" s="153">
        <f t="shared" si="264"/>
        <v>9.5310609537138014</v>
      </c>
      <c r="BA170" s="147">
        <f t="shared" si="294"/>
        <v>3.4876336995076449</v>
      </c>
      <c r="BB170" s="147">
        <f t="shared" si="295"/>
        <v>6.5356779550295867</v>
      </c>
      <c r="BC170" s="5">
        <f t="shared" si="258"/>
        <v>0.16907875831279418</v>
      </c>
      <c r="BD170" s="147">
        <f t="shared" si="296"/>
        <v>12.911676104228794</v>
      </c>
      <c r="BF170" s="153">
        <f t="shared" si="265"/>
        <v>0.12553251487671876</v>
      </c>
      <c r="BG170" s="153">
        <f t="shared" si="261"/>
        <v>0.14660786931125061</v>
      </c>
      <c r="BI170" s="463">
        <f t="shared" ref="BI170:BI210" si="306">Rdson*BF170^2</f>
        <v>5.5154443019457666E-3</v>
      </c>
      <c r="BJ170" s="463">
        <f t="shared" ref="BJ170:BJ210" si="307">0.5*K170*AJ170*AN170*1000*Trise</f>
        <v>1.6567933862633437E-2</v>
      </c>
      <c r="BK170" s="463">
        <f t="shared" ref="BK170:BK210" si="308">Qg*Vdd*AN170*1000</f>
        <v>4.3749999999999995E-3</v>
      </c>
      <c r="BL170" s="463">
        <f t="shared" ref="BL170:BL210" si="309">0.5*(Coss+Csw)*K170^2*AN170*1000</f>
        <v>1.4035392000000001E-2</v>
      </c>
      <c r="BM170">
        <f t="shared" ref="BM170:BM210" si="310">I170*IQ</f>
        <v>3.7699999999999999E-3</v>
      </c>
      <c r="BN170">
        <f t="shared" si="297"/>
        <v>6.9999999999999999E-6</v>
      </c>
      <c r="BO170" s="463">
        <f t="shared" si="298"/>
        <v>4.5061209408320486E-2</v>
      </c>
      <c r="BP170" s="147">
        <f t="shared" ref="BP170:BP210" si="311">SUM(BI170:BM170)*1000</f>
        <v>44.263770164579213</v>
      </c>
      <c r="BQ170" s="463">
        <f t="shared" si="299"/>
        <v>3.934131465080435E-2</v>
      </c>
      <c r="BT170" s="147">
        <f t="shared" ref="BT170:BT210" si="312">SUM(BQ170:BS170)*1000</f>
        <v>39.34131465080435</v>
      </c>
      <c r="BU170" s="463">
        <f t="shared" ref="BU170:BU210" si="313">Rdcr_pri*BF170^2</f>
        <v>1.5758412291273619E-2</v>
      </c>
      <c r="BV170" s="463">
        <f t="shared" ref="BV170:BV210" si="314">Rdcr_sec*BG170^2</f>
        <v>2.149386734398474E-2</v>
      </c>
      <c r="BW170" s="463">
        <f t="shared" ref="BW170:BW210" si="315">AJ170^2.5*AN170^2.5*k_core</f>
        <v>0</v>
      </c>
      <c r="BX170" s="463"/>
      <c r="BY170" s="463">
        <f t="shared" ref="BY170:BY210" si="316">0.5*Lleak*0.000000001*AJ170^2*AN170*1000</f>
        <v>1.955744680851064E-2</v>
      </c>
      <c r="BZ170" s="147">
        <f t="shared" ref="BZ170:BZ210" si="317">SUM(BU170:BY170)*1000</f>
        <v>56.809726443769001</v>
      </c>
      <c r="CA170" s="153">
        <f t="shared" ref="CA170:CA210" si="318">SUM(BI170:BM170,BQ170:BS170,BU170:BY170)</f>
        <v>0.14041481125915256</v>
      </c>
      <c r="CB170" s="5">
        <f t="shared" ref="CB170:CB212" si="319">MIN(H170,O170)</f>
        <v>0.89999999999999991</v>
      </c>
      <c r="CC170" s="153">
        <f t="shared" ref="CC170:CC210" si="320">CB170/(CB170+CA170)</f>
        <v>0.86503958830688232</v>
      </c>
      <c r="CD170" s="5">
        <f t="shared" ref="CD170:CD210" si="321">CC170*100</f>
        <v>86.503958830688234</v>
      </c>
      <c r="CG170" s="59">
        <f t="shared" si="300"/>
        <v>-50</v>
      </c>
      <c r="CH170">
        <f t="shared" si="301"/>
        <v>-50</v>
      </c>
    </row>
    <row r="171" spans="5:86" x14ac:dyDescent="0.25">
      <c r="E171" s="150">
        <v>61</v>
      </c>
      <c r="F171" s="191">
        <f t="shared" si="302"/>
        <v>6.0999999999999999E-2</v>
      </c>
      <c r="G171" s="191"/>
      <c r="H171" s="191">
        <f t="shared" si="266"/>
        <v>0.91500000000000004</v>
      </c>
      <c r="I171" s="472">
        <f t="shared" si="267"/>
        <v>13</v>
      </c>
      <c r="J171" s="386">
        <f t="shared" si="268"/>
        <v>15.32</v>
      </c>
      <c r="K171" s="386">
        <f t="shared" si="269"/>
        <v>28.32</v>
      </c>
      <c r="L171" s="386"/>
      <c r="M171" s="191">
        <f t="shared" si="270"/>
        <v>0.54096045197740117</v>
      </c>
      <c r="N171" s="152">
        <f t="shared" si="271"/>
        <v>2.3997235845654528</v>
      </c>
      <c r="O171" s="152">
        <f t="shared" si="262"/>
        <v>0.91500000000000004</v>
      </c>
      <c r="P171" s="191">
        <f t="shared" si="272"/>
        <v>0.15998157230436352</v>
      </c>
      <c r="Q171" s="191">
        <f t="shared" si="273"/>
        <v>15</v>
      </c>
      <c r="R171" s="191"/>
      <c r="S171" s="152">
        <f t="shared" si="274"/>
        <v>58.99636192806841</v>
      </c>
      <c r="T171" s="152">
        <f t="shared" si="275"/>
        <v>15</v>
      </c>
      <c r="U171" s="191">
        <f t="shared" si="276"/>
        <v>0.28913436433018674</v>
      </c>
      <c r="V171" s="191">
        <f t="shared" si="277"/>
        <v>1.0453319325783674</v>
      </c>
      <c r="W171" s="191">
        <f t="shared" si="278"/>
        <v>0.88703101328451539</v>
      </c>
      <c r="X171" s="175">
        <f t="shared" si="279"/>
        <v>350</v>
      </c>
      <c r="Y171" s="386">
        <f t="shared" si="303"/>
        <v>350</v>
      </c>
      <c r="AA171" s="191">
        <f t="shared" si="280"/>
        <v>0.42750674016451157</v>
      </c>
      <c r="AB171" s="153">
        <f t="shared" si="281"/>
        <v>1.3115415657788541</v>
      </c>
      <c r="AC171" s="153">
        <f t="shared" si="282"/>
        <v>9.8121250390866027E-2</v>
      </c>
      <c r="AD171" s="153"/>
      <c r="AE171" s="153">
        <f t="shared" si="283"/>
        <v>0.46018276762402083</v>
      </c>
      <c r="AF171" s="317">
        <f t="shared" si="284"/>
        <v>1767.4137115839246</v>
      </c>
      <c r="AG171" s="463">
        <f t="shared" si="285"/>
        <v>1.2079797650130546E-2</v>
      </c>
      <c r="AI171" s="153">
        <f t="shared" si="286"/>
        <v>0.33707484760441259</v>
      </c>
      <c r="AJ171" s="153">
        <f t="shared" si="287"/>
        <v>0.33707484760441259</v>
      </c>
      <c r="AK171" s="153">
        <f t="shared" si="288"/>
        <v>1.3247165650696084</v>
      </c>
      <c r="AM171" s="317">
        <f t="shared" si="289"/>
        <v>61</v>
      </c>
      <c r="AN171" s="147">
        <f t="shared" si="290"/>
        <v>350</v>
      </c>
      <c r="AP171">
        <f t="shared" si="291"/>
        <v>61</v>
      </c>
      <c r="AQ171">
        <f t="shared" si="292"/>
        <v>350</v>
      </c>
      <c r="AS171" s="5">
        <f t="shared" si="263"/>
        <v>2.8571428571428572</v>
      </c>
      <c r="AT171" s="5">
        <f t="shared" si="293"/>
        <v>1.2186552182621069</v>
      </c>
      <c r="AU171" s="5">
        <f t="shared" si="304"/>
        <v>1.6384876388807503</v>
      </c>
      <c r="AV171" s="5"/>
      <c r="AW171" s="153">
        <f t="shared" si="305"/>
        <v>0.42652932639173741</v>
      </c>
      <c r="AX171" s="153">
        <f t="shared" si="259"/>
        <v>0.9345199999999998</v>
      </c>
      <c r="AY171" s="153">
        <f t="shared" si="260"/>
        <v>9.6651269956052485E-2</v>
      </c>
      <c r="AZ171" s="153">
        <f t="shared" si="264"/>
        <v>9.6689883167073525</v>
      </c>
      <c r="BA171" s="147">
        <f t="shared" si="294"/>
        <v>3.4876336995076449</v>
      </c>
      <c r="BB171" s="147">
        <f t="shared" si="295"/>
        <v>6.7522993529625266</v>
      </c>
      <c r="BC171" s="5">
        <f t="shared" si="258"/>
        <v>0.17085084781491586</v>
      </c>
      <c r="BD171" s="147">
        <f t="shared" si="296"/>
        <v>13.048428970734077</v>
      </c>
      <c r="BF171" s="153">
        <f t="shared" si="265"/>
        <v>0.12709842472813385</v>
      </c>
      <c r="BG171" s="153">
        <f t="shared" si="261"/>
        <v>0.14737415443061772</v>
      </c>
      <c r="BI171" s="463">
        <f t="shared" si="306"/>
        <v>5.6539033489305867E-3</v>
      </c>
      <c r="BJ171" s="463">
        <f t="shared" si="307"/>
        <v>1.6705429447274687E-2</v>
      </c>
      <c r="BK171" s="463">
        <f t="shared" si="308"/>
        <v>4.3749999999999995E-3</v>
      </c>
      <c r="BL171" s="463">
        <f t="shared" si="309"/>
        <v>1.4035392000000001E-2</v>
      </c>
      <c r="BM171">
        <f t="shared" si="310"/>
        <v>3.7699999999999999E-3</v>
      </c>
      <c r="BN171">
        <f t="shared" si="297"/>
        <v>6.9999999999999999E-6</v>
      </c>
      <c r="BO171" s="463">
        <f t="shared" si="298"/>
        <v>4.5357316013338124E-2</v>
      </c>
      <c r="BP171" s="147">
        <f t="shared" si="311"/>
        <v>44.539724796205277</v>
      </c>
      <c r="BQ171" s="463">
        <f t="shared" si="299"/>
        <v>3.9895424025122625E-2</v>
      </c>
      <c r="BT171" s="147">
        <f t="shared" si="312"/>
        <v>39.895424025122622</v>
      </c>
      <c r="BU171" s="463">
        <f t="shared" si="313"/>
        <v>1.6154009568373106E-2</v>
      </c>
      <c r="BV171" s="463">
        <f t="shared" si="314"/>
        <v>2.1719141394139559E-2</v>
      </c>
      <c r="BW171" s="463">
        <f t="shared" si="315"/>
        <v>0</v>
      </c>
      <c r="BX171" s="463"/>
      <c r="BY171" s="463">
        <f t="shared" si="316"/>
        <v>1.9883404255319148E-2</v>
      </c>
      <c r="BZ171" s="147">
        <f t="shared" si="317"/>
        <v>57.75655521783181</v>
      </c>
      <c r="CA171" s="153">
        <f t="shared" si="318"/>
        <v>0.14219170403915973</v>
      </c>
      <c r="CB171" s="5">
        <f t="shared" si="319"/>
        <v>0.91500000000000004</v>
      </c>
      <c r="CC171" s="153">
        <f t="shared" si="320"/>
        <v>0.86550054876906901</v>
      </c>
      <c r="CD171" s="5">
        <f t="shared" si="321"/>
        <v>86.550054876906898</v>
      </c>
      <c r="CG171" s="59">
        <f t="shared" si="300"/>
        <v>-50</v>
      </c>
      <c r="CH171">
        <f t="shared" si="301"/>
        <v>-50</v>
      </c>
    </row>
    <row r="172" spans="5:86" x14ac:dyDescent="0.25">
      <c r="E172" s="150">
        <v>62</v>
      </c>
      <c r="F172" s="191">
        <f t="shared" si="302"/>
        <v>6.2E-2</v>
      </c>
      <c r="G172" s="191"/>
      <c r="H172" s="191">
        <f t="shared" si="266"/>
        <v>0.92999999999999994</v>
      </c>
      <c r="I172" s="472">
        <f t="shared" si="267"/>
        <v>13</v>
      </c>
      <c r="J172" s="386">
        <f t="shared" si="268"/>
        <v>15.32</v>
      </c>
      <c r="K172" s="386">
        <f t="shared" si="269"/>
        <v>28.32</v>
      </c>
      <c r="L172" s="386"/>
      <c r="M172" s="191">
        <f t="shared" si="270"/>
        <v>0.54096045197740117</v>
      </c>
      <c r="N172" s="152">
        <f t="shared" si="271"/>
        <v>2.3997235845654528</v>
      </c>
      <c r="O172" s="152">
        <f t="shared" si="262"/>
        <v>0.92999999999999994</v>
      </c>
      <c r="P172" s="191">
        <f t="shared" si="272"/>
        <v>0.15998157230436352</v>
      </c>
      <c r="Q172" s="191">
        <f t="shared" si="273"/>
        <v>15</v>
      </c>
      <c r="R172" s="191"/>
      <c r="S172" s="152">
        <f t="shared" si="274"/>
        <v>57.837658734287622</v>
      </c>
      <c r="T172" s="152">
        <f t="shared" si="275"/>
        <v>15</v>
      </c>
      <c r="U172" s="191">
        <f t="shared" si="276"/>
        <v>0.29387427194215698</v>
      </c>
      <c r="V172" s="191">
        <f t="shared" si="277"/>
        <v>1.0624685216370291</v>
      </c>
      <c r="W172" s="191">
        <f t="shared" si="278"/>
        <v>0.90157250530557298</v>
      </c>
      <c r="X172" s="175">
        <f t="shared" si="279"/>
        <v>350</v>
      </c>
      <c r="Y172" s="386">
        <f t="shared" si="303"/>
        <v>350</v>
      </c>
      <c r="AA172" s="191">
        <f t="shared" si="280"/>
        <v>0.42750674016451157</v>
      </c>
      <c r="AB172" s="153">
        <f t="shared" si="281"/>
        <v>1.3115415657788541</v>
      </c>
      <c r="AC172" s="153">
        <f t="shared" si="282"/>
        <v>9.8121250390866027E-2</v>
      </c>
      <c r="AD172" s="153"/>
      <c r="AE172" s="153">
        <f t="shared" si="283"/>
        <v>0.46018276762402083</v>
      </c>
      <c r="AF172" s="317">
        <f t="shared" si="284"/>
        <v>1796.3877068557924</v>
      </c>
      <c r="AG172" s="463">
        <f t="shared" si="285"/>
        <v>1.2079797650130546E-2</v>
      </c>
      <c r="AI172" s="153">
        <f t="shared" si="286"/>
        <v>0.33982652467001589</v>
      </c>
      <c r="AJ172" s="153">
        <f t="shared" si="287"/>
        <v>0.33982652467001589</v>
      </c>
      <c r="AK172" s="153">
        <f t="shared" si="288"/>
        <v>1.3265510164466772</v>
      </c>
      <c r="AM172" s="317">
        <f t="shared" si="289"/>
        <v>62</v>
      </c>
      <c r="AN172" s="147">
        <f t="shared" si="290"/>
        <v>350</v>
      </c>
      <c r="AP172">
        <f t="shared" si="291"/>
        <v>62</v>
      </c>
      <c r="AQ172">
        <f t="shared" si="292"/>
        <v>350</v>
      </c>
      <c r="AS172" s="5">
        <f t="shared" si="263"/>
        <v>2.8571428571428572</v>
      </c>
      <c r="AT172" s="5">
        <f t="shared" si="293"/>
        <v>1.2286035891915958</v>
      </c>
      <c r="AU172" s="5">
        <f t="shared" si="304"/>
        <v>1.6285392679512614</v>
      </c>
      <c r="AV172" s="5"/>
      <c r="AW172" s="153">
        <f t="shared" si="305"/>
        <v>0.43001125621705855</v>
      </c>
      <c r="AX172" s="153">
        <f t="shared" si="259"/>
        <v>0.94984000000000002</v>
      </c>
      <c r="AY172" s="153">
        <f t="shared" si="260"/>
        <v>9.6848646950392553E-2</v>
      </c>
      <c r="AZ172" s="153">
        <f t="shared" si="264"/>
        <v>9.8074679400169984</v>
      </c>
      <c r="BA172" s="147">
        <f t="shared" si="294"/>
        <v>3.4876336995076449</v>
      </c>
      <c r="BB172" s="147">
        <f t="shared" si="295"/>
        <v>6.9724516830927028</v>
      </c>
      <c r="BC172" s="5">
        <f t="shared" si="258"/>
        <v>0.17259732412474904</v>
      </c>
      <c r="BD172" s="147">
        <f t="shared" si="296"/>
        <v>13.183260847817715</v>
      </c>
      <c r="BF172" s="153">
        <f t="shared" si="265"/>
        <v>0.12865792972712622</v>
      </c>
      <c r="BG172" s="153">
        <f t="shared" si="261"/>
        <v>0.14812548534299161</v>
      </c>
      <c r="BI172" s="463">
        <f t="shared" si="306"/>
        <v>5.7935020085845531E-3</v>
      </c>
      <c r="BJ172" s="463">
        <f t="shared" si="307"/>
        <v>1.6841802562645992E-2</v>
      </c>
      <c r="BK172" s="463">
        <f t="shared" si="308"/>
        <v>4.3749999999999995E-3</v>
      </c>
      <c r="BL172" s="463">
        <f t="shared" si="309"/>
        <v>1.4035392000000001E-2</v>
      </c>
      <c r="BM172">
        <f t="shared" si="310"/>
        <v>3.7699999999999999E-3</v>
      </c>
      <c r="BN172">
        <f t="shared" si="297"/>
        <v>6.9999999999999999E-6</v>
      </c>
      <c r="BO172" s="463">
        <f t="shared" si="298"/>
        <v>4.5653618546412429E-2</v>
      </c>
      <c r="BP172" s="147">
        <f t="shared" si="311"/>
        <v>44.815696571230546</v>
      </c>
      <c r="BQ172" s="463">
        <f t="shared" si="299"/>
        <v>4.0447045787785976E-2</v>
      </c>
      <c r="BT172" s="147">
        <f t="shared" si="312"/>
        <v>40.447045787785974</v>
      </c>
      <c r="BU172" s="463">
        <f t="shared" si="313"/>
        <v>1.6552862881670152E-2</v>
      </c>
      <c r="BV172" s="463">
        <f t="shared" si="314"/>
        <v>2.1941159408096822E-2</v>
      </c>
      <c r="BW172" s="463">
        <f t="shared" si="315"/>
        <v>0</v>
      </c>
      <c r="BX172" s="463"/>
      <c r="BY172" s="463">
        <f t="shared" si="316"/>
        <v>2.0209361702127667E-2</v>
      </c>
      <c r="BZ172" s="147">
        <f t="shared" si="317"/>
        <v>58.703383991894647</v>
      </c>
      <c r="CA172" s="153">
        <f t="shared" si="318"/>
        <v>0.14396612635091116</v>
      </c>
      <c r="CB172" s="5">
        <f t="shared" si="319"/>
        <v>0.92999999999999994</v>
      </c>
      <c r="CC172" s="153">
        <f t="shared" si="320"/>
        <v>0.86594909949341259</v>
      </c>
      <c r="CD172" s="5">
        <f t="shared" si="321"/>
        <v>86.594909949341258</v>
      </c>
      <c r="CG172" s="59">
        <f t="shared" si="300"/>
        <v>-50</v>
      </c>
      <c r="CH172">
        <f t="shared" si="301"/>
        <v>-50</v>
      </c>
    </row>
    <row r="173" spans="5:86" x14ac:dyDescent="0.25">
      <c r="E173" s="150">
        <v>63</v>
      </c>
      <c r="F173" s="191">
        <f t="shared" si="302"/>
        <v>6.3E-2</v>
      </c>
      <c r="G173" s="191"/>
      <c r="H173" s="191">
        <f t="shared" si="266"/>
        <v>0.94500000000000006</v>
      </c>
      <c r="I173" s="472">
        <f t="shared" si="267"/>
        <v>13</v>
      </c>
      <c r="J173" s="386">
        <f t="shared" si="268"/>
        <v>15.32</v>
      </c>
      <c r="K173" s="386">
        <f t="shared" si="269"/>
        <v>28.32</v>
      </c>
      <c r="L173" s="386"/>
      <c r="M173" s="191">
        <f t="shared" si="270"/>
        <v>0.54096045197740117</v>
      </c>
      <c r="N173" s="152">
        <f t="shared" si="271"/>
        <v>2.3997235845654528</v>
      </c>
      <c r="O173" s="152">
        <f t="shared" si="262"/>
        <v>0.94500000000000006</v>
      </c>
      <c r="P173" s="191">
        <f t="shared" si="272"/>
        <v>0.15998157230436352</v>
      </c>
      <c r="Q173" s="191">
        <f t="shared" si="273"/>
        <v>15</v>
      </c>
      <c r="R173" s="191"/>
      <c r="S173" s="152">
        <f t="shared" si="274"/>
        <v>56.715793797596497</v>
      </c>
      <c r="T173" s="152">
        <f t="shared" si="275"/>
        <v>15</v>
      </c>
      <c r="U173" s="191">
        <f t="shared" si="276"/>
        <v>0.29861417955412728</v>
      </c>
      <c r="V173" s="191">
        <f t="shared" si="277"/>
        <v>1.0796051106956908</v>
      </c>
      <c r="W173" s="191">
        <f t="shared" si="278"/>
        <v>0.91611399732663057</v>
      </c>
      <c r="X173" s="175">
        <f t="shared" si="279"/>
        <v>350</v>
      </c>
      <c r="Y173" s="386">
        <f t="shared" si="303"/>
        <v>350</v>
      </c>
      <c r="AA173" s="191">
        <f t="shared" si="280"/>
        <v>0.42750674016451157</v>
      </c>
      <c r="AB173" s="153">
        <f t="shared" si="281"/>
        <v>1.3115415657788541</v>
      </c>
      <c r="AC173" s="153">
        <f t="shared" si="282"/>
        <v>9.8121250390866027E-2</v>
      </c>
      <c r="AD173" s="153"/>
      <c r="AE173" s="153">
        <f t="shared" si="283"/>
        <v>0.46018276762402083</v>
      </c>
      <c r="AF173" s="317">
        <f t="shared" si="284"/>
        <v>1825.36170212766</v>
      </c>
      <c r="AG173" s="463">
        <f t="shared" si="285"/>
        <v>1.2079797650130546E-2</v>
      </c>
      <c r="AI173" s="153">
        <f t="shared" si="286"/>
        <v>0.34255609883793314</v>
      </c>
      <c r="AJ173" s="153">
        <f t="shared" si="287"/>
        <v>0.34255609883793314</v>
      </c>
      <c r="AK173" s="153">
        <f t="shared" si="288"/>
        <v>1.328370732558622</v>
      </c>
      <c r="AM173" s="317">
        <f t="shared" si="289"/>
        <v>63</v>
      </c>
      <c r="AN173" s="147">
        <f t="shared" si="290"/>
        <v>350</v>
      </c>
      <c r="AP173">
        <f t="shared" si="291"/>
        <v>63</v>
      </c>
      <c r="AQ173">
        <f t="shared" si="292"/>
        <v>350</v>
      </c>
      <c r="AS173" s="5">
        <f t="shared" si="263"/>
        <v>2.8571428571428572</v>
      </c>
      <c r="AT173" s="5">
        <f t="shared" si="293"/>
        <v>1.2384720496448351</v>
      </c>
      <c r="AU173" s="5">
        <f t="shared" si="304"/>
        <v>1.6186708074980221</v>
      </c>
      <c r="AV173" s="5"/>
      <c r="AW173" s="153">
        <f t="shared" si="305"/>
        <v>0.43346521737569227</v>
      </c>
      <c r="AX173" s="153">
        <f t="shared" si="259"/>
        <v>0.9651599999999998</v>
      </c>
      <c r="AY173" s="153">
        <f t="shared" si="260"/>
        <v>9.703497249588966E-2</v>
      </c>
      <c r="AZ173" s="153">
        <f t="shared" si="264"/>
        <v>9.9465169636739308</v>
      </c>
      <c r="BA173" s="147">
        <f t="shared" si="294"/>
        <v>3.4876336995076449</v>
      </c>
      <c r="BB173" s="147">
        <f t="shared" si="295"/>
        <v>7.1961349454201216</v>
      </c>
      <c r="BC173" s="5">
        <f t="shared" si="258"/>
        <v>0.17431839465363316</v>
      </c>
      <c r="BD173" s="147">
        <f t="shared" si="296"/>
        <v>13.316187291330179</v>
      </c>
      <c r="BF173" s="153">
        <f t="shared" si="265"/>
        <v>0.13021115875503605</v>
      </c>
      <c r="BG173" s="153">
        <f t="shared" si="261"/>
        <v>0.14886217703866911</v>
      </c>
      <c r="BI173" s="463">
        <f t="shared" si="306"/>
        <v>5.9342310525152204E-3</v>
      </c>
      <c r="BJ173" s="463">
        <f t="shared" si="307"/>
        <v>1.6977080258407967E-2</v>
      </c>
      <c r="BK173" s="463">
        <f t="shared" si="308"/>
        <v>4.3749999999999995E-3</v>
      </c>
      <c r="BL173" s="463">
        <f t="shared" si="309"/>
        <v>1.4035392000000001E-2</v>
      </c>
      <c r="BM173">
        <f t="shared" si="310"/>
        <v>3.7699999999999999E-3</v>
      </c>
      <c r="BN173">
        <f t="shared" si="297"/>
        <v>6.9999999999999999E-6</v>
      </c>
      <c r="BO173" s="463">
        <f t="shared" si="298"/>
        <v>4.5950133725084975E-2</v>
      </c>
      <c r="BP173" s="147">
        <f t="shared" si="311"/>
        <v>45.091703310923194</v>
      </c>
      <c r="BQ173" s="463">
        <f t="shared" si="299"/>
        <v>4.0996200083056739E-2</v>
      </c>
      <c r="BT173" s="147">
        <f t="shared" si="312"/>
        <v>40.996200083056742</v>
      </c>
      <c r="BU173" s="463">
        <f t="shared" si="313"/>
        <v>1.6954945864329201E-2</v>
      </c>
      <c r="BV173" s="463">
        <f t="shared" si="314"/>
        <v>2.2159947752692064E-2</v>
      </c>
      <c r="BW173" s="463">
        <f t="shared" si="315"/>
        <v>0</v>
      </c>
      <c r="BX173" s="463"/>
      <c r="BY173" s="463">
        <f t="shared" si="316"/>
        <v>2.0535319148936172E-2</v>
      </c>
      <c r="BZ173" s="147">
        <f t="shared" si="317"/>
        <v>59.650212765957434</v>
      </c>
      <c r="CA173" s="153">
        <f t="shared" si="318"/>
        <v>0.14573811615993737</v>
      </c>
      <c r="CB173" s="5">
        <f t="shared" si="319"/>
        <v>0.94500000000000006</v>
      </c>
      <c r="CC173" s="153">
        <f t="shared" si="320"/>
        <v>0.86638578591804938</v>
      </c>
      <c r="CD173" s="5">
        <f t="shared" si="321"/>
        <v>86.638578591804944</v>
      </c>
      <c r="CG173" s="59">
        <f t="shared" si="300"/>
        <v>-50</v>
      </c>
      <c r="CH173">
        <f t="shared" si="301"/>
        <v>-50</v>
      </c>
    </row>
    <row r="174" spans="5:86" x14ac:dyDescent="0.25">
      <c r="E174" s="150">
        <v>64</v>
      </c>
      <c r="F174" s="191">
        <f t="shared" si="302"/>
        <v>6.4000000000000001E-2</v>
      </c>
      <c r="G174" s="191"/>
      <c r="H174" s="191">
        <f t="shared" ref="H174:H205" si="322">F174*Vout</f>
        <v>0.96</v>
      </c>
      <c r="I174" s="472">
        <f t="shared" ref="I174:I212" si="323">VIN_min</f>
        <v>13</v>
      </c>
      <c r="J174" s="386">
        <f t="shared" ref="J174:J210" si="324">(T174+Vfwd1)*Nps</f>
        <v>15.32</v>
      </c>
      <c r="K174" s="386">
        <f t="shared" ref="K174:K210" si="325">(Vout+Vfwd1)*Nps+I174</f>
        <v>28.32</v>
      </c>
      <c r="L174" s="386"/>
      <c r="M174" s="191">
        <f t="shared" ref="M174:M210" si="326">(Vout+Vfwd1)*Nps/((Vout+Vfwd1)*Nps+I174)</f>
        <v>0.54096045197740117</v>
      </c>
      <c r="N174" s="152">
        <f t="shared" ref="N174:N205" si="327">M174*I174*(Isw_max+VIN_min/Lmag*ILIM_delay)*0.5*Efficiency</f>
        <v>2.3997235845654528</v>
      </c>
      <c r="O174" s="152">
        <f t="shared" si="262"/>
        <v>0.96</v>
      </c>
      <c r="P174" s="191">
        <f t="shared" ref="P174:P205" si="328">N174/Vout</f>
        <v>0.15998157230436352</v>
      </c>
      <c r="Q174" s="191">
        <f t="shared" ref="Q174:Q210" si="329">MIN(Vout,N174/F174)</f>
        <v>15</v>
      </c>
      <c r="R174" s="191"/>
      <c r="S174" s="152">
        <f t="shared" ref="S174:S210" si="330">(SQRT(Isw_max^2*Nps^2*I174^2+4*Isw_max*F174/Efficiency*(Nps^2*Vfwd1*I174-Nps*I174^2)+4*(F174/Efficiency)^2*Nps^2*Vfwd1^2+8*(F174/Efficiency)^2*Nps*Vfwd1*I174+4*(F174/Efficiency)^2*I174^2)-2*F174/Efficiency*I174-2*F174/Efficiency*Nps*Vfwd1+Isw_max*Nps*I174)/(4*F174/Efficiency*Nps)</f>
        <v>55.62904087469532</v>
      </c>
      <c r="T174" s="152">
        <f t="shared" ref="T174:T205" si="331">MIN(Vout, S174)</f>
        <v>15</v>
      </c>
      <c r="U174" s="191">
        <f t="shared" ref="U174:U210" si="332">MIN(2*Vout*F174/(Efficiency*I174*M174), Isw_max)</f>
        <v>0.30335408716609752</v>
      </c>
      <c r="V174" s="191">
        <f t="shared" ref="V174:V205" si="333">L*U174/I174*1000000</f>
        <v>1.0967416997543524</v>
      </c>
      <c r="W174" s="191">
        <f t="shared" ref="W174:W210" si="334">L*U174/J174*1000000</f>
        <v>0.93065548934768816</v>
      </c>
      <c r="X174" s="175">
        <f t="shared" ref="X174:X210" si="335">IF(1/((350000*L)*(1/I174+1/J174))&gt;Isw_min, 350, 0.001/((Isw_min*L)*(1/I174+1/J174)))</f>
        <v>350</v>
      </c>
      <c r="Y174" s="386">
        <f t="shared" si="303"/>
        <v>350</v>
      </c>
      <c r="AA174" s="191">
        <f t="shared" ref="AA174:AA210" si="336">1/((X174*1000*L)*(1/I174+1/J174))</f>
        <v>0.42750674016451157</v>
      </c>
      <c r="AB174" s="153">
        <f t="shared" ref="AB174:AB205" si="337">L*AA174/J174*1000000</f>
        <v>1.3115415657788541</v>
      </c>
      <c r="AC174" s="153">
        <f t="shared" ref="AC174:AC205" si="338">0.5*AB174*AA174*Nps*X174/1000</f>
        <v>9.8121250390866027E-2</v>
      </c>
      <c r="AD174" s="153"/>
      <c r="AE174" s="153">
        <f t="shared" ref="AE174:AE210" si="339">L*Isw_min/J174*1000000</f>
        <v>0.46018276762402083</v>
      </c>
      <c r="AF174" s="317">
        <f t="shared" ref="AF174:AF205" si="340">MAX(12000,F174/(0.5*AE174/1000000*Isw_min*Nps))/1000</f>
        <v>1854.3356973995278</v>
      </c>
      <c r="AG174" s="463">
        <f t="shared" ref="AG174:AG210" si="341">0.5*AE174/1000000*Isw_min*Nps*X174*1000</f>
        <v>1.2079797650130546E-2</v>
      </c>
      <c r="AI174" s="153">
        <f t="shared" ref="AI174:AI210" si="342">SQRT(F174/(0.5*L/J174*Fsw_DCM*Nps))</f>
        <v>0.34526409432900307</v>
      </c>
      <c r="AJ174" s="153">
        <f t="shared" ref="AJ174:AJ205" si="343">MAX(IF(F174&gt;AC174,U174,AI174),Isw_min)</f>
        <v>0.34526409432900307</v>
      </c>
      <c r="AK174" s="153">
        <f t="shared" ref="AK174:AK205" si="344">IF(F174&gt;AG174, (AJ174-Isw_min)/1.2*0.8+1.2, AF174*0.2/350+1)</f>
        <v>1.330176062886002</v>
      </c>
      <c r="AM174" s="317">
        <f t="shared" ref="AM174:AM210" si="345">F174*1000</f>
        <v>64</v>
      </c>
      <c r="AN174" s="147">
        <f t="shared" ref="AN174:AN210" si="346">IF(F174&gt;AG174, Y174, AF174)</f>
        <v>350</v>
      </c>
      <c r="AP174">
        <f t="shared" ref="AP174:AP210" si="347">IF(H174&gt;N174, "",AM174)</f>
        <v>64</v>
      </c>
      <c r="AQ174">
        <f t="shared" ref="AQ174:AQ210" si="348">IF(H174&gt;N174, "",AN174)</f>
        <v>350</v>
      </c>
      <c r="AS174" s="5">
        <f t="shared" si="263"/>
        <v>2.8571428571428572</v>
      </c>
      <c r="AT174" s="5">
        <f t="shared" ref="AT174:AT210" si="349">L*AJ174/I174*1000000</f>
        <v>1.2482624948817802</v>
      </c>
      <c r="AU174" s="5">
        <f t="shared" si="304"/>
        <v>1.608880362261077</v>
      </c>
      <c r="AV174" s="5"/>
      <c r="AW174" s="153">
        <f t="shared" si="305"/>
        <v>0.43689187320862305</v>
      </c>
      <c r="AX174" s="153">
        <f t="shared" si="259"/>
        <v>0.98047999999999969</v>
      </c>
      <c r="AY174" s="153">
        <f t="shared" si="260"/>
        <v>9.7210508702963092E-2</v>
      </c>
      <c r="AZ174" s="153">
        <f t="shared" si="264"/>
        <v>10.08615234177983</v>
      </c>
      <c r="BA174" s="147">
        <f t="shared" ref="BA174:BA210" si="350">L*Isw_max^2/(2*Vout_ripple*Vout)*1000000000*((1+M174)/2)^2</f>
        <v>3.4876336995076449</v>
      </c>
      <c r="BB174" s="147">
        <f t="shared" ref="BB174:BB210" si="351">L*F174^2/(2*Cout*Vout*Nps^2)*1000000000*((1+M174)/(1-M174))^2+F174*RCoutEsr</f>
        <v>7.423349139944774</v>
      </c>
      <c r="BC174" s="5">
        <f t="shared" si="258"/>
        <v>0.1760142618542033</v>
      </c>
      <c r="BD174" s="147">
        <f t="shared" ref="BD174:BD210" si="352">((CB174/I174/Efficiency)*AU174/Cin+(CB174/I174/Efficiency)*RCinEsr)*1000</f>
        <v>13.447223485219091</v>
      </c>
      <c r="BF174" s="153">
        <f t="shared" si="265"/>
        <v>0.13175823609885681</v>
      </c>
      <c r="BG174" s="153">
        <f t="shared" si="261"/>
        <v>0.14958453183532541</v>
      </c>
      <c r="BI174" s="463">
        <f t="shared" si="306"/>
        <v>6.0760814729587335E-3</v>
      </c>
      <c r="BJ174" s="463">
        <f t="shared" si="307"/>
        <v>1.7111288514945391E-2</v>
      </c>
      <c r="BK174" s="463">
        <f t="shared" si="308"/>
        <v>4.3749999999999995E-3</v>
      </c>
      <c r="BL174" s="463">
        <f t="shared" si="309"/>
        <v>1.4035392000000001E-2</v>
      </c>
      <c r="BM174">
        <f t="shared" si="310"/>
        <v>3.7699999999999999E-3</v>
      </c>
      <c r="BN174">
        <f t="shared" ref="BN174:BN210" si="353">(I174-Vdd)*Qg*AN174</f>
        <v>6.9999999999999999E-6</v>
      </c>
      <c r="BO174" s="463">
        <f t="shared" ref="BO174:BO205" si="354">(BJ174+BK174+BL174+BM174+BN174+BI174*(1+RdsonTC*(Ta-25)))/(1-BI174*RdsonTC*ThetaJA)</f>
        <v>4.6246877448977167E-2</v>
      </c>
      <c r="BP174" s="147">
        <f t="shared" si="311"/>
        <v>45.367761987904132</v>
      </c>
      <c r="BQ174" s="463">
        <f t="shared" ref="BQ174:BQ210" si="355">(Vfwd2*F174+BG174^2*Rdiode)*(1+Diode_TC/1000*(Ta-25))</f>
        <v>4.1542906573596619E-2</v>
      </c>
      <c r="BT174" s="147">
        <f t="shared" si="312"/>
        <v>41.542906573596618</v>
      </c>
      <c r="BU174" s="463">
        <f t="shared" si="313"/>
        <v>1.7360232779882096E-2</v>
      </c>
      <c r="BV174" s="463">
        <f t="shared" si="314"/>
        <v>2.2375532164393482E-2</v>
      </c>
      <c r="BW174" s="463">
        <f t="shared" si="315"/>
        <v>0</v>
      </c>
      <c r="BX174" s="463"/>
      <c r="BY174" s="463">
        <f t="shared" si="316"/>
        <v>2.0861276595744681E-2</v>
      </c>
      <c r="BZ174" s="147">
        <f t="shared" si="317"/>
        <v>60.597041540020264</v>
      </c>
      <c r="CA174" s="153">
        <f t="shared" si="318"/>
        <v>0.14750771010152103</v>
      </c>
      <c r="CB174" s="5">
        <f t="shared" si="319"/>
        <v>0.96</v>
      </c>
      <c r="CC174" s="153">
        <f t="shared" si="320"/>
        <v>0.86681112126253324</v>
      </c>
      <c r="CD174" s="5">
        <f t="shared" si="321"/>
        <v>86.681112126253325</v>
      </c>
      <c r="CG174" s="59">
        <f t="shared" ref="CG174:CG210" si="356">IF(ABS(F174-Ioutmax_Vinmin)&lt;Iout/200, AN174, -50)</f>
        <v>-50</v>
      </c>
      <c r="CH174">
        <f t="shared" ref="CH174:CH210" si="357">IF(ABS(F174-Ioutmax_Vinmin)&lt;Iout/200, N174*CC174, -50)</f>
        <v>-50</v>
      </c>
    </row>
    <row r="175" spans="5:86" x14ac:dyDescent="0.25">
      <c r="E175" s="150">
        <v>65</v>
      </c>
      <c r="F175" s="191">
        <f t="shared" ref="F175:F206" si="358">IF(PLOT_TYPE=1, E175/100*Iout_max, min_I*EXP(N175*rr/100))</f>
        <v>6.5000000000000002E-2</v>
      </c>
      <c r="G175" s="191"/>
      <c r="H175" s="191">
        <f t="shared" si="322"/>
        <v>0.97500000000000009</v>
      </c>
      <c r="I175" s="472">
        <f t="shared" si="323"/>
        <v>13</v>
      </c>
      <c r="J175" s="386">
        <f t="shared" si="324"/>
        <v>15.32</v>
      </c>
      <c r="K175" s="386">
        <f t="shared" si="325"/>
        <v>28.32</v>
      </c>
      <c r="L175" s="386"/>
      <c r="M175" s="191">
        <f t="shared" si="326"/>
        <v>0.54096045197740117</v>
      </c>
      <c r="N175" s="152">
        <f t="shared" si="327"/>
        <v>2.3997235845654528</v>
      </c>
      <c r="O175" s="152">
        <f t="shared" si="262"/>
        <v>0.97500000000000009</v>
      </c>
      <c r="P175" s="191">
        <f t="shared" si="328"/>
        <v>0.15998157230436352</v>
      </c>
      <c r="Q175" s="191">
        <f t="shared" si="329"/>
        <v>15</v>
      </c>
      <c r="R175" s="191"/>
      <c r="S175" s="152">
        <f t="shared" si="330"/>
        <v>54.575779959826491</v>
      </c>
      <c r="T175" s="152">
        <f t="shared" si="331"/>
        <v>15</v>
      </c>
      <c r="U175" s="191">
        <f t="shared" si="332"/>
        <v>0.30809399477806787</v>
      </c>
      <c r="V175" s="191">
        <f t="shared" si="333"/>
        <v>1.1138782888130145</v>
      </c>
      <c r="W175" s="191">
        <f t="shared" si="334"/>
        <v>0.94519698136874597</v>
      </c>
      <c r="X175" s="175">
        <f t="shared" si="335"/>
        <v>350</v>
      </c>
      <c r="Y175" s="386">
        <f t="shared" si="303"/>
        <v>350</v>
      </c>
      <c r="AA175" s="191">
        <f t="shared" si="336"/>
        <v>0.42750674016451157</v>
      </c>
      <c r="AB175" s="153">
        <f t="shared" si="337"/>
        <v>1.3115415657788541</v>
      </c>
      <c r="AC175" s="153">
        <f t="shared" si="338"/>
        <v>9.8121250390866027E-2</v>
      </c>
      <c r="AD175" s="153"/>
      <c r="AE175" s="153">
        <f t="shared" si="339"/>
        <v>0.46018276762402083</v>
      </c>
      <c r="AF175" s="317">
        <f t="shared" si="340"/>
        <v>1883.3096926713954</v>
      </c>
      <c r="AG175" s="463">
        <f t="shared" si="341"/>
        <v>1.2079797650130546E-2</v>
      </c>
      <c r="AI175" s="153">
        <f t="shared" si="342"/>
        <v>0.34795101496416081</v>
      </c>
      <c r="AJ175" s="153">
        <f t="shared" si="343"/>
        <v>0.34795101496416081</v>
      </c>
      <c r="AK175" s="153">
        <f t="shared" si="344"/>
        <v>1.3319673433094406</v>
      </c>
      <c r="AM175" s="317">
        <f t="shared" si="345"/>
        <v>65</v>
      </c>
      <c r="AN175" s="147">
        <f t="shared" si="346"/>
        <v>350</v>
      </c>
      <c r="AP175">
        <f t="shared" si="347"/>
        <v>65</v>
      </c>
      <c r="AQ175">
        <f t="shared" si="348"/>
        <v>350</v>
      </c>
      <c r="AS175" s="5">
        <f t="shared" si="263"/>
        <v>2.8571428571428572</v>
      </c>
      <c r="AT175" s="5">
        <f t="shared" si="349"/>
        <v>1.2579767464088891</v>
      </c>
      <c r="AU175" s="5">
        <f t="shared" si="304"/>
        <v>1.5991661107339681</v>
      </c>
      <c r="AV175" s="5"/>
      <c r="AW175" s="153">
        <f t="shared" si="305"/>
        <v>0.4402918612431112</v>
      </c>
      <c r="AX175" s="153">
        <f t="shared" si="259"/>
        <v>0.9957999999999998</v>
      </c>
      <c r="AY175" s="153">
        <f t="shared" si="260"/>
        <v>9.737550748208039E-2</v>
      </c>
      <c r="AZ175" s="153">
        <f t="shared" si="264"/>
        <v>10.226390863054066</v>
      </c>
      <c r="BA175" s="147">
        <f t="shared" si="350"/>
        <v>3.4876336995076449</v>
      </c>
      <c r="BB175" s="147">
        <f t="shared" si="351"/>
        <v>7.6540942666666698</v>
      </c>
      <c r="BC175" s="5">
        <f t="shared" si="258"/>
        <v>0.17768512341488538</v>
      </c>
      <c r="BD175" s="147">
        <f t="shared" si="352"/>
        <v>13.576384256116402</v>
      </c>
      <c r="BF175" s="153">
        <f t="shared" si="265"/>
        <v>0.13329928168412292</v>
      </c>
      <c r="BG175" s="153">
        <f t="shared" si="261"/>
        <v>0.15029284006241528</v>
      </c>
      <c r="BI175" s="463">
        <f t="shared" si="306"/>
        <v>6.2190444741261003E-3</v>
      </c>
      <c r="BJ175" s="463">
        <f t="shared" si="307"/>
        <v>1.724445230162381E-2</v>
      </c>
      <c r="BK175" s="463">
        <f t="shared" si="308"/>
        <v>4.3749999999999995E-3</v>
      </c>
      <c r="BL175" s="463">
        <f t="shared" si="309"/>
        <v>1.4035392000000001E-2</v>
      </c>
      <c r="BM175">
        <f t="shared" si="310"/>
        <v>3.7699999999999999E-3</v>
      </c>
      <c r="BN175">
        <f t="shared" si="353"/>
        <v>6.9999999999999999E-6</v>
      </c>
      <c r="BO175" s="463">
        <f t="shared" si="354"/>
        <v>4.6543864848189585E-2</v>
      </c>
      <c r="BP175" s="147">
        <f t="shared" si="311"/>
        <v>45.643888775749907</v>
      </c>
      <c r="BQ175" s="463">
        <f t="shared" si="355"/>
        <v>4.2087184459356435E-2</v>
      </c>
      <c r="BT175" s="147">
        <f t="shared" si="312"/>
        <v>42.087184459356436</v>
      </c>
      <c r="BU175" s="463">
        <f t="shared" si="313"/>
        <v>1.7768698497503146E-2</v>
      </c>
      <c r="BV175" s="463">
        <f t="shared" si="314"/>
        <v>2.2587937774026737E-2</v>
      </c>
      <c r="BW175" s="463">
        <f t="shared" si="315"/>
        <v>0</v>
      </c>
      <c r="BX175" s="463"/>
      <c r="BY175" s="463">
        <f t="shared" si="316"/>
        <v>2.1187234042553193E-2</v>
      </c>
      <c r="BZ175" s="147">
        <f t="shared" si="317"/>
        <v>61.54387031408308</v>
      </c>
      <c r="CA175" s="153">
        <f t="shared" si="318"/>
        <v>0.14927494354918941</v>
      </c>
      <c r="CB175" s="5">
        <f t="shared" si="319"/>
        <v>0.97500000000000009</v>
      </c>
      <c r="CC175" s="153">
        <f t="shared" si="320"/>
        <v>0.86722558889558832</v>
      </c>
      <c r="CD175" s="5">
        <f t="shared" si="321"/>
        <v>86.722558889558826</v>
      </c>
      <c r="CG175" s="59">
        <f t="shared" si="356"/>
        <v>-50</v>
      </c>
      <c r="CH175">
        <f t="shared" si="357"/>
        <v>-50</v>
      </c>
    </row>
    <row r="176" spans="5:86" x14ac:dyDescent="0.25">
      <c r="E176" s="150">
        <v>66</v>
      </c>
      <c r="F176" s="191">
        <f t="shared" si="358"/>
        <v>6.6000000000000003E-2</v>
      </c>
      <c r="G176" s="191"/>
      <c r="H176" s="191">
        <f t="shared" si="322"/>
        <v>0.99</v>
      </c>
      <c r="I176" s="472">
        <f t="shared" si="323"/>
        <v>13</v>
      </c>
      <c r="J176" s="386">
        <f t="shared" si="324"/>
        <v>15.32</v>
      </c>
      <c r="K176" s="386">
        <f t="shared" si="325"/>
        <v>28.32</v>
      </c>
      <c r="L176" s="386"/>
      <c r="M176" s="191">
        <f t="shared" si="326"/>
        <v>0.54096045197740117</v>
      </c>
      <c r="N176" s="152">
        <f t="shared" si="327"/>
        <v>2.3997235845654528</v>
      </c>
      <c r="O176" s="152">
        <f t="shared" si="262"/>
        <v>0.99</v>
      </c>
      <c r="P176" s="191">
        <f t="shared" si="328"/>
        <v>0.15998157230436352</v>
      </c>
      <c r="Q176" s="191">
        <f t="shared" si="329"/>
        <v>15</v>
      </c>
      <c r="R176" s="191"/>
      <c r="S176" s="152">
        <f t="shared" si="330"/>
        <v>53.554489236588132</v>
      </c>
      <c r="T176" s="152">
        <f t="shared" si="331"/>
        <v>15</v>
      </c>
      <c r="U176" s="191">
        <f t="shared" si="332"/>
        <v>0.31283390239003811</v>
      </c>
      <c r="V176" s="191">
        <f t="shared" si="333"/>
        <v>1.1310148778716762</v>
      </c>
      <c r="W176" s="191">
        <f t="shared" si="334"/>
        <v>0.95973847338980356</v>
      </c>
      <c r="X176" s="175">
        <f t="shared" si="335"/>
        <v>350</v>
      </c>
      <c r="Y176" s="386">
        <f t="shared" si="303"/>
        <v>350</v>
      </c>
      <c r="AA176" s="191">
        <f t="shared" si="336"/>
        <v>0.42750674016451157</v>
      </c>
      <c r="AB176" s="153">
        <f t="shared" si="337"/>
        <v>1.3115415657788541</v>
      </c>
      <c r="AC176" s="153">
        <f t="shared" si="338"/>
        <v>9.8121250390866027E-2</v>
      </c>
      <c r="AD176" s="153"/>
      <c r="AE176" s="153">
        <f t="shared" si="339"/>
        <v>0.46018276762402083</v>
      </c>
      <c r="AF176" s="317">
        <f t="shared" si="340"/>
        <v>1912.283687943263</v>
      </c>
      <c r="AG176" s="463">
        <f t="shared" si="341"/>
        <v>1.2079797650130546E-2</v>
      </c>
      <c r="AI176" s="153">
        <f t="shared" si="342"/>
        <v>0.35061734525883426</v>
      </c>
      <c r="AJ176" s="153">
        <f t="shared" si="343"/>
        <v>0.35061734525883426</v>
      </c>
      <c r="AK176" s="153">
        <f t="shared" si="344"/>
        <v>1.3337448968392227</v>
      </c>
      <c r="AM176" s="317">
        <f t="shared" si="345"/>
        <v>66</v>
      </c>
      <c r="AN176" s="147">
        <f t="shared" si="346"/>
        <v>350</v>
      </c>
      <c r="AP176">
        <f t="shared" si="347"/>
        <v>66</v>
      </c>
      <c r="AQ176">
        <f t="shared" si="348"/>
        <v>350</v>
      </c>
      <c r="AS176" s="5">
        <f t="shared" si="263"/>
        <v>2.8571428571428572</v>
      </c>
      <c r="AT176" s="5">
        <f t="shared" si="349"/>
        <v>1.2676165559357853</v>
      </c>
      <c r="AU176" s="5">
        <f t="shared" si="304"/>
        <v>1.5895263012070719</v>
      </c>
      <c r="AV176" s="5"/>
      <c r="AW176" s="153">
        <f t="shared" si="305"/>
        <v>0.44366579457752481</v>
      </c>
      <c r="AX176" s="153">
        <f t="shared" si="259"/>
        <v>1.0111199999999998</v>
      </c>
      <c r="AY176" s="153">
        <f t="shared" si="260"/>
        <v>9.7530211090955596E-2</v>
      </c>
      <c r="AZ176" s="153">
        <f t="shared" si="264"/>
        <v>10.367249170178054</v>
      </c>
      <c r="BA176" s="147">
        <f t="shared" si="350"/>
        <v>3.4876336995076449</v>
      </c>
      <c r="BB176" s="147">
        <f t="shared" si="351"/>
        <v>7.888370325585802</v>
      </c>
      <c r="BC176" s="5">
        <f t="shared" si="258"/>
        <v>0.17933117244387475</v>
      </c>
      <c r="BD176" s="147">
        <f t="shared" si="352"/>
        <v>13.703684087136763</v>
      </c>
      <c r="BF176" s="153">
        <f t="shared" si="265"/>
        <v>0.13483441129259677</v>
      </c>
      <c r="BG176" s="153">
        <f t="shared" si="261"/>
        <v>0.15098738069839823</v>
      </c>
      <c r="BI176" s="463">
        <f t="shared" si="306"/>
        <v>6.3631114640174012E-3</v>
      </c>
      <c r="BJ176" s="463">
        <f t="shared" si="307"/>
        <v>1.7376595631027829E-2</v>
      </c>
      <c r="BK176" s="463">
        <f t="shared" si="308"/>
        <v>4.3749999999999995E-3</v>
      </c>
      <c r="BL176" s="463">
        <f t="shared" si="309"/>
        <v>1.4035392000000001E-2</v>
      </c>
      <c r="BM176">
        <f t="shared" si="310"/>
        <v>3.7699999999999999E-3</v>
      </c>
      <c r="BN176">
        <f t="shared" si="353"/>
        <v>6.9999999999999999E-6</v>
      </c>
      <c r="BO176" s="463">
        <f t="shared" si="354"/>
        <v>4.6841110328216133E-2</v>
      </c>
      <c r="BP176" s="147">
        <f t="shared" si="311"/>
        <v>45.920099095045238</v>
      </c>
      <c r="BQ176" s="463">
        <f t="shared" si="355"/>
        <v>4.2629052495444568E-2</v>
      </c>
      <c r="BT176" s="147">
        <f t="shared" si="312"/>
        <v>42.629052495444569</v>
      </c>
      <c r="BU176" s="463">
        <f t="shared" si="313"/>
        <v>1.8180318468621146E-2</v>
      </c>
      <c r="BV176" s="463">
        <f t="shared" si="314"/>
        <v>2.2797189130163039E-2</v>
      </c>
      <c r="BW176" s="463">
        <f t="shared" si="315"/>
        <v>0</v>
      </c>
      <c r="BX176" s="463"/>
      <c r="BY176" s="463">
        <f t="shared" si="316"/>
        <v>2.1513191489361705E-2</v>
      </c>
      <c r="BZ176" s="147">
        <f t="shared" si="317"/>
        <v>62.490699088145888</v>
      </c>
      <c r="CA176" s="153">
        <f t="shared" si="318"/>
        <v>0.15103985067863568</v>
      </c>
      <c r="CB176" s="5">
        <f t="shared" si="319"/>
        <v>0.99</v>
      </c>
      <c r="CC176" s="153">
        <f t="shared" si="320"/>
        <v>0.86762964449593549</v>
      </c>
      <c r="CD176" s="5">
        <f t="shared" si="321"/>
        <v>86.762964449593554</v>
      </c>
      <c r="CG176" s="59">
        <f t="shared" si="356"/>
        <v>-50</v>
      </c>
      <c r="CH176">
        <f t="shared" si="357"/>
        <v>-50</v>
      </c>
    </row>
    <row r="177" spans="5:86" x14ac:dyDescent="0.25">
      <c r="E177" s="150">
        <v>67</v>
      </c>
      <c r="F177" s="191">
        <f t="shared" si="358"/>
        <v>6.7000000000000004E-2</v>
      </c>
      <c r="G177" s="191"/>
      <c r="H177" s="191">
        <f t="shared" si="322"/>
        <v>1.0050000000000001</v>
      </c>
      <c r="I177" s="472">
        <f t="shared" si="323"/>
        <v>13</v>
      </c>
      <c r="J177" s="386">
        <f t="shared" si="324"/>
        <v>15.32</v>
      </c>
      <c r="K177" s="386">
        <f t="shared" si="325"/>
        <v>28.32</v>
      </c>
      <c r="L177" s="386"/>
      <c r="M177" s="191">
        <f t="shared" si="326"/>
        <v>0.54096045197740117</v>
      </c>
      <c r="N177" s="152">
        <f t="shared" si="327"/>
        <v>2.3997235845654528</v>
      </c>
      <c r="O177" s="152">
        <f t="shared" si="262"/>
        <v>1.0050000000000001</v>
      </c>
      <c r="P177" s="191">
        <f t="shared" si="328"/>
        <v>0.15998157230436352</v>
      </c>
      <c r="Q177" s="191">
        <f t="shared" si="329"/>
        <v>15</v>
      </c>
      <c r="R177" s="191"/>
      <c r="S177" s="152">
        <f t="shared" si="330"/>
        <v>52.563737750482751</v>
      </c>
      <c r="T177" s="152">
        <f t="shared" si="331"/>
        <v>15</v>
      </c>
      <c r="U177" s="191">
        <f t="shared" si="332"/>
        <v>0.31757381000200841</v>
      </c>
      <c r="V177" s="191">
        <f t="shared" si="333"/>
        <v>1.1481514669303381</v>
      </c>
      <c r="W177" s="191">
        <f t="shared" si="334"/>
        <v>0.97427996541086115</v>
      </c>
      <c r="X177" s="175">
        <f t="shared" si="335"/>
        <v>350</v>
      </c>
      <c r="Y177" s="386">
        <f t="shared" si="303"/>
        <v>350</v>
      </c>
      <c r="AA177" s="191">
        <f t="shared" si="336"/>
        <v>0.42750674016451157</v>
      </c>
      <c r="AB177" s="153">
        <f t="shared" si="337"/>
        <v>1.3115415657788541</v>
      </c>
      <c r="AC177" s="153">
        <f t="shared" si="338"/>
        <v>9.8121250390866027E-2</v>
      </c>
      <c r="AD177" s="153"/>
      <c r="AE177" s="153">
        <f t="shared" si="339"/>
        <v>0.46018276762402083</v>
      </c>
      <c r="AF177" s="317">
        <f t="shared" si="340"/>
        <v>1941.2576832151306</v>
      </c>
      <c r="AG177" s="463">
        <f t="shared" si="341"/>
        <v>1.2079797650130546E-2</v>
      </c>
      <c r="AI177" s="153">
        <f t="shared" si="342"/>
        <v>0.35326355144299204</v>
      </c>
      <c r="AJ177" s="153">
        <f t="shared" si="343"/>
        <v>0.35326355144299204</v>
      </c>
      <c r="AK177" s="153">
        <f t="shared" si="344"/>
        <v>1.335509034295328</v>
      </c>
      <c r="AM177" s="317">
        <f t="shared" si="345"/>
        <v>67</v>
      </c>
      <c r="AN177" s="147">
        <f t="shared" si="346"/>
        <v>350</v>
      </c>
      <c r="AP177">
        <f t="shared" si="347"/>
        <v>67</v>
      </c>
      <c r="AQ177">
        <f t="shared" si="348"/>
        <v>350</v>
      </c>
      <c r="AS177" s="5">
        <f t="shared" si="263"/>
        <v>2.8571428571428572</v>
      </c>
      <c r="AT177" s="5">
        <f t="shared" si="349"/>
        <v>1.277183609063125</v>
      </c>
      <c r="AU177" s="5">
        <f t="shared" si="304"/>
        <v>1.5799592480797322</v>
      </c>
      <c r="AV177" s="5"/>
      <c r="AW177" s="153">
        <f t="shared" si="305"/>
        <v>0.44701426317209375</v>
      </c>
      <c r="AX177" s="153">
        <f t="shared" si="259"/>
        <v>1.0264399999999998</v>
      </c>
      <c r="AY177" s="153">
        <f t="shared" si="260"/>
        <v>9.7674852644572971E-2</v>
      </c>
      <c r="AZ177" s="153">
        <f t="shared" si="264"/>
        <v>10.508743778043785</v>
      </c>
      <c r="BA177" s="147">
        <f t="shared" si="350"/>
        <v>3.4876336995076449</v>
      </c>
      <c r="BB177" s="147">
        <f t="shared" si="351"/>
        <v>8.126177316702174</v>
      </c>
      <c r="BC177" s="5">
        <f t="shared" si="258"/>
        <v>0.18095259764331975</v>
      </c>
      <c r="BD177" s="147">
        <f t="shared" si="352"/>
        <v>13.829137130941289</v>
      </c>
      <c r="BF177" s="153">
        <f t="shared" si="265"/>
        <v>0.13636373676596228</v>
      </c>
      <c r="BG177" s="153">
        <f t="shared" si="261"/>
        <v>0.15166842196469854</v>
      </c>
      <c r="BI177" s="463">
        <f t="shared" si="306"/>
        <v>6.5082740466718284E-3</v>
      </c>
      <c r="BJ177" s="463">
        <f t="shared" si="307"/>
        <v>1.7507741609514686E-2</v>
      </c>
      <c r="BK177" s="463">
        <f t="shared" si="308"/>
        <v>4.3749999999999995E-3</v>
      </c>
      <c r="BL177" s="463">
        <f t="shared" si="309"/>
        <v>1.4035392000000001E-2</v>
      </c>
      <c r="BM177">
        <f t="shared" si="310"/>
        <v>3.7699999999999999E-3</v>
      </c>
      <c r="BN177">
        <f t="shared" si="353"/>
        <v>6.9999999999999999E-6</v>
      </c>
      <c r="BO177" s="463">
        <f t="shared" si="354"/>
        <v>4.7138627611669821E-2</v>
      </c>
      <c r="BP177" s="147">
        <f t="shared" si="311"/>
        <v>46.196407656186516</v>
      </c>
      <c r="BQ177" s="463">
        <f t="shared" si="355"/>
        <v>4.3168529009044061E-2</v>
      </c>
      <c r="BT177" s="147">
        <f t="shared" si="312"/>
        <v>43.168529009044065</v>
      </c>
      <c r="BU177" s="463">
        <f t="shared" si="313"/>
        <v>1.8595068704776653E-2</v>
      </c>
      <c r="BV177" s="463">
        <f t="shared" si="314"/>
        <v>2.3003310221261852E-2</v>
      </c>
      <c r="BW177" s="463">
        <f t="shared" si="315"/>
        <v>0</v>
      </c>
      <c r="BX177" s="463"/>
      <c r="BY177" s="463">
        <f t="shared" si="316"/>
        <v>2.1839148936170213E-2</v>
      </c>
      <c r="BZ177" s="147">
        <f t="shared" si="317"/>
        <v>63.437527862208718</v>
      </c>
      <c r="CA177" s="153">
        <f t="shared" si="318"/>
        <v>0.15280246452743929</v>
      </c>
      <c r="CB177" s="5">
        <f t="shared" si="319"/>
        <v>1.0050000000000001</v>
      </c>
      <c r="CC177" s="153">
        <f t="shared" si="320"/>
        <v>0.86802371802705902</v>
      </c>
      <c r="CD177" s="5">
        <f t="shared" si="321"/>
        <v>86.802371802705906</v>
      </c>
      <c r="CG177" s="59">
        <f t="shared" si="356"/>
        <v>-50</v>
      </c>
      <c r="CH177">
        <f t="shared" si="357"/>
        <v>-50</v>
      </c>
    </row>
    <row r="178" spans="5:86" x14ac:dyDescent="0.25">
      <c r="E178" s="150">
        <v>68</v>
      </c>
      <c r="F178" s="191">
        <f t="shared" si="358"/>
        <v>6.8000000000000005E-2</v>
      </c>
      <c r="G178" s="191"/>
      <c r="H178" s="191">
        <f t="shared" si="322"/>
        <v>1.02</v>
      </c>
      <c r="I178" s="472">
        <f t="shared" si="323"/>
        <v>13</v>
      </c>
      <c r="J178" s="386">
        <f t="shared" si="324"/>
        <v>15.32</v>
      </c>
      <c r="K178" s="386">
        <f t="shared" si="325"/>
        <v>28.32</v>
      </c>
      <c r="L178" s="386"/>
      <c r="M178" s="191">
        <f t="shared" si="326"/>
        <v>0.54096045197740117</v>
      </c>
      <c r="N178" s="152">
        <f t="shared" si="327"/>
        <v>2.3997235845654528</v>
      </c>
      <c r="O178" s="152">
        <f t="shared" si="262"/>
        <v>1.02</v>
      </c>
      <c r="P178" s="191">
        <f t="shared" si="328"/>
        <v>0.15998157230436352</v>
      </c>
      <c r="Q178" s="191">
        <f t="shared" si="329"/>
        <v>15</v>
      </c>
      <c r="R178" s="191"/>
      <c r="S178" s="152">
        <f t="shared" si="330"/>
        <v>51.602178728007843</v>
      </c>
      <c r="T178" s="152">
        <f t="shared" si="331"/>
        <v>15</v>
      </c>
      <c r="U178" s="191">
        <f t="shared" si="332"/>
        <v>0.32231371761397865</v>
      </c>
      <c r="V178" s="191">
        <f t="shared" si="333"/>
        <v>1.1652880559889995</v>
      </c>
      <c r="W178" s="191">
        <f t="shared" si="334"/>
        <v>0.98882145743191885</v>
      </c>
      <c r="X178" s="175">
        <f t="shared" si="335"/>
        <v>350</v>
      </c>
      <c r="Y178" s="386">
        <f t="shared" si="303"/>
        <v>350</v>
      </c>
      <c r="AA178" s="191">
        <f t="shared" si="336"/>
        <v>0.42750674016451157</v>
      </c>
      <c r="AB178" s="153">
        <f t="shared" si="337"/>
        <v>1.3115415657788541</v>
      </c>
      <c r="AC178" s="153">
        <f t="shared" si="338"/>
        <v>9.8121250390866027E-2</v>
      </c>
      <c r="AD178" s="153"/>
      <c r="AE178" s="153">
        <f t="shared" si="339"/>
        <v>0.46018276762402083</v>
      </c>
      <c r="AF178" s="317">
        <f t="shared" si="340"/>
        <v>1970.2316784869981</v>
      </c>
      <c r="AG178" s="463">
        <f t="shared" si="341"/>
        <v>1.2079797650130546E-2</v>
      </c>
      <c r="AI178" s="153">
        <f t="shared" si="342"/>
        <v>0.3558900824129248</v>
      </c>
      <c r="AJ178" s="153">
        <f t="shared" si="343"/>
        <v>0.3558900824129248</v>
      </c>
      <c r="AK178" s="153">
        <f t="shared" si="344"/>
        <v>1.3372600549419498</v>
      </c>
      <c r="AM178" s="317">
        <f t="shared" si="345"/>
        <v>68</v>
      </c>
      <c r="AN178" s="147">
        <f t="shared" si="346"/>
        <v>350</v>
      </c>
      <c r="AP178">
        <f t="shared" si="347"/>
        <v>68</v>
      </c>
      <c r="AQ178">
        <f t="shared" si="348"/>
        <v>350</v>
      </c>
      <c r="AS178" s="5">
        <f t="shared" si="263"/>
        <v>2.8571428571428572</v>
      </c>
      <c r="AT178" s="5">
        <f t="shared" si="349"/>
        <v>1.2866795287236512</v>
      </c>
      <c r="AU178" s="5">
        <f t="shared" si="304"/>
        <v>1.570463328419206</v>
      </c>
      <c r="AV178" s="5"/>
      <c r="AW178" s="153">
        <f t="shared" si="305"/>
        <v>0.4503378350532779</v>
      </c>
      <c r="AX178" s="153">
        <f t="shared" si="259"/>
        <v>1.0417599999999998</v>
      </c>
      <c r="AY178" s="153">
        <f t="shared" si="260"/>
        <v>9.7809656591077807E-2</v>
      </c>
      <c r="AZ178" s="153">
        <f t="shared" si="264"/>
        <v>10.650891091003269</v>
      </c>
      <c r="BA178" s="147">
        <f t="shared" si="350"/>
        <v>3.4876336995076449</v>
      </c>
      <c r="BB178" s="147">
        <f t="shared" si="351"/>
        <v>8.3675152400157824</v>
      </c>
      <c r="BC178" s="5">
        <f t="shared" si="258"/>
        <v>0.18254958347436923</v>
      </c>
      <c r="BD178" s="147">
        <f t="shared" si="352"/>
        <v>13.952757222116155</v>
      </c>
      <c r="BF178" s="153">
        <f t="shared" si="265"/>
        <v>0.13788736619661873</v>
      </c>
      <c r="BG178" s="153">
        <f t="shared" si="261"/>
        <v>0.15233622187993362</v>
      </c>
      <c r="BI178" s="463">
        <f t="shared" si="306"/>
        <v>6.6545240148241517E-3</v>
      </c>
      <c r="BJ178" s="463">
        <f t="shared" si="307"/>
        <v>1.7637912484384555E-2</v>
      </c>
      <c r="BK178" s="463">
        <f t="shared" si="308"/>
        <v>4.3749999999999995E-3</v>
      </c>
      <c r="BL178" s="463">
        <f t="shared" si="309"/>
        <v>1.4035392000000001E-2</v>
      </c>
      <c r="BM178">
        <f t="shared" si="310"/>
        <v>3.7699999999999999E-3</v>
      </c>
      <c r="BN178">
        <f t="shared" si="353"/>
        <v>6.9999999999999999E-6</v>
      </c>
      <c r="BO178" s="463">
        <f t="shared" si="354"/>
        <v>4.7436429777088299E-2</v>
      </c>
      <c r="BP178" s="147">
        <f t="shared" si="311"/>
        <v>46.47282849920871</v>
      </c>
      <c r="BQ178" s="463">
        <f t="shared" si="355"/>
        <v>4.3705631915442411E-2</v>
      </c>
      <c r="BT178" s="147">
        <f t="shared" si="312"/>
        <v>43.70563191544241</v>
      </c>
      <c r="BU178" s="463">
        <f t="shared" si="313"/>
        <v>1.9012925756640434E-2</v>
      </c>
      <c r="BV178" s="463">
        <f t="shared" si="314"/>
        <v>2.3206324496652365E-2</v>
      </c>
      <c r="BW178" s="463">
        <f t="shared" si="315"/>
        <v>0</v>
      </c>
      <c r="BX178" s="463"/>
      <c r="BY178" s="463">
        <f t="shared" si="316"/>
        <v>2.2165106382978722E-2</v>
      </c>
      <c r="BZ178" s="147">
        <f t="shared" si="317"/>
        <v>64.384356636271519</v>
      </c>
      <c r="CA178" s="153">
        <f t="shared" si="318"/>
        <v>0.15456281705092265</v>
      </c>
      <c r="CB178" s="5">
        <f t="shared" si="319"/>
        <v>1.02</v>
      </c>
      <c r="CC178" s="153">
        <f t="shared" si="320"/>
        <v>0.86840821554440406</v>
      </c>
      <c r="CD178" s="5">
        <f t="shared" si="321"/>
        <v>86.84082155444041</v>
      </c>
      <c r="CG178" s="59">
        <f t="shared" si="356"/>
        <v>-50</v>
      </c>
      <c r="CH178">
        <f t="shared" si="357"/>
        <v>-50</v>
      </c>
    </row>
    <row r="179" spans="5:86" x14ac:dyDescent="0.25">
      <c r="E179" s="150">
        <v>69</v>
      </c>
      <c r="F179" s="191">
        <f t="shared" si="358"/>
        <v>6.8999999999999992E-2</v>
      </c>
      <c r="G179" s="191"/>
      <c r="H179" s="191">
        <f t="shared" si="322"/>
        <v>1.0349999999999999</v>
      </c>
      <c r="I179" s="472">
        <f t="shared" si="323"/>
        <v>13</v>
      </c>
      <c r="J179" s="386">
        <f t="shared" si="324"/>
        <v>15.32</v>
      </c>
      <c r="K179" s="386">
        <f t="shared" si="325"/>
        <v>28.32</v>
      </c>
      <c r="L179" s="386"/>
      <c r="M179" s="191">
        <f t="shared" si="326"/>
        <v>0.54096045197740117</v>
      </c>
      <c r="N179" s="152">
        <f t="shared" si="327"/>
        <v>2.3997235845654528</v>
      </c>
      <c r="O179" s="152">
        <f t="shared" si="262"/>
        <v>1.0349999999999999</v>
      </c>
      <c r="P179" s="191">
        <f t="shared" si="328"/>
        <v>0.15998157230436352</v>
      </c>
      <c r="Q179" s="191">
        <f t="shared" si="329"/>
        <v>15</v>
      </c>
      <c r="R179" s="191"/>
      <c r="S179" s="152">
        <f t="shared" si="330"/>
        <v>50.668543476696989</v>
      </c>
      <c r="T179" s="152">
        <f t="shared" si="331"/>
        <v>15</v>
      </c>
      <c r="U179" s="191">
        <f t="shared" si="332"/>
        <v>0.32705362522594889</v>
      </c>
      <c r="V179" s="191">
        <f t="shared" si="333"/>
        <v>1.1824246450476612</v>
      </c>
      <c r="W179" s="191">
        <f t="shared" si="334"/>
        <v>1.0033629494529763</v>
      </c>
      <c r="X179" s="175">
        <f t="shared" si="335"/>
        <v>350</v>
      </c>
      <c r="Y179" s="386">
        <f t="shared" si="303"/>
        <v>350</v>
      </c>
      <c r="AA179" s="191">
        <f t="shared" si="336"/>
        <v>0.42750674016451157</v>
      </c>
      <c r="AB179" s="153">
        <f t="shared" si="337"/>
        <v>1.3115415657788541</v>
      </c>
      <c r="AC179" s="153">
        <f t="shared" si="338"/>
        <v>9.8121250390866027E-2</v>
      </c>
      <c r="AD179" s="153"/>
      <c r="AE179" s="153">
        <f t="shared" si="339"/>
        <v>0.46018276762402083</v>
      </c>
      <c r="AF179" s="317">
        <f t="shared" si="340"/>
        <v>1999.2056737588655</v>
      </c>
      <c r="AG179" s="463">
        <f t="shared" si="341"/>
        <v>1.2079797650130546E-2</v>
      </c>
      <c r="AI179" s="153">
        <f t="shared" si="342"/>
        <v>0.35849737062026171</v>
      </c>
      <c r="AJ179" s="153">
        <f t="shared" si="343"/>
        <v>0.35849737062026171</v>
      </c>
      <c r="AK179" s="153">
        <f t="shared" si="344"/>
        <v>1.3389982470801745</v>
      </c>
      <c r="AM179" s="317">
        <f t="shared" si="345"/>
        <v>68.999999999999986</v>
      </c>
      <c r="AN179" s="147">
        <f t="shared" si="346"/>
        <v>350</v>
      </c>
      <c r="AP179">
        <f t="shared" si="347"/>
        <v>68.999999999999986</v>
      </c>
      <c r="AQ179">
        <f t="shared" si="348"/>
        <v>350</v>
      </c>
      <c r="AS179" s="5">
        <f t="shared" si="263"/>
        <v>2.8571428571428572</v>
      </c>
      <c r="AT179" s="5">
        <f t="shared" si="349"/>
        <v>1.2961058783963306</v>
      </c>
      <c r="AU179" s="5">
        <f t="shared" si="304"/>
        <v>1.5610369787465266</v>
      </c>
      <c r="AV179" s="5"/>
      <c r="AW179" s="153">
        <f t="shared" si="305"/>
        <v>0.45363705743871569</v>
      </c>
      <c r="AX179" s="153">
        <f t="shared" si="259"/>
        <v>1.0570799999999996</v>
      </c>
      <c r="AY179" s="153">
        <f t="shared" si="260"/>
        <v>9.7934839156284759E-2</v>
      </c>
      <c r="AZ179" s="153">
        <f t="shared" si="264"/>
        <v>10.793707419206639</v>
      </c>
      <c r="BA179" s="147">
        <f t="shared" si="350"/>
        <v>3.4876336995076449</v>
      </c>
      <c r="BB179" s="147">
        <f t="shared" si="351"/>
        <v>8.6123840955266271</v>
      </c>
      <c r="BC179" s="5">
        <f t="shared" si="258"/>
        <v>0.18412231031369286</v>
      </c>
      <c r="BD179" s="147">
        <f t="shared" si="352"/>
        <v>14.074557888911583</v>
      </c>
      <c r="BF179" s="153">
        <f t="shared" si="265"/>
        <v>0.13940540410657046</v>
      </c>
      <c r="BG179" s="153">
        <f t="shared" si="261"/>
        <v>0.15299102877760803</v>
      </c>
      <c r="BI179" s="463">
        <f t="shared" si="306"/>
        <v>6.8018533429406733E-3</v>
      </c>
      <c r="BJ179" s="463">
        <f t="shared" si="307"/>
        <v>1.776712968794017E-2</v>
      </c>
      <c r="BK179" s="463">
        <f t="shared" si="308"/>
        <v>4.3749999999999995E-3</v>
      </c>
      <c r="BL179" s="463">
        <f t="shared" si="309"/>
        <v>1.4035392000000001E-2</v>
      </c>
      <c r="BM179">
        <f t="shared" si="310"/>
        <v>3.7699999999999999E-3</v>
      </c>
      <c r="BN179">
        <f t="shared" si="353"/>
        <v>6.9999999999999999E-6</v>
      </c>
      <c r="BO179" s="463">
        <f t="shared" si="354"/>
        <v>4.7734529295060973E-2</v>
      </c>
      <c r="BP179" s="147">
        <f t="shared" si="311"/>
        <v>46.749375030880842</v>
      </c>
      <c r="BQ179" s="463">
        <f t="shared" si="355"/>
        <v>4.42403787332332E-2</v>
      </c>
      <c r="BT179" s="147">
        <f t="shared" si="312"/>
        <v>44.2403787332332</v>
      </c>
      <c r="BU179" s="463">
        <f t="shared" si="313"/>
        <v>1.943386669411621E-2</v>
      </c>
      <c r="BV179" s="463">
        <f t="shared" si="314"/>
        <v>2.3406254886430888E-2</v>
      </c>
      <c r="BW179" s="463">
        <f t="shared" si="315"/>
        <v>0</v>
      </c>
      <c r="BX179" s="463"/>
      <c r="BY179" s="463">
        <f t="shared" si="316"/>
        <v>2.2491063829787227E-2</v>
      </c>
      <c r="BZ179" s="147">
        <f t="shared" si="317"/>
        <v>65.331185410334328</v>
      </c>
      <c r="CA179" s="153">
        <f t="shared" si="318"/>
        <v>0.15632093917444836</v>
      </c>
      <c r="CB179" s="5">
        <f t="shared" si="319"/>
        <v>1.0349999999999999</v>
      </c>
      <c r="CC179" s="153">
        <f t="shared" si="320"/>
        <v>0.86878352085142196</v>
      </c>
      <c r="CD179" s="5">
        <f t="shared" si="321"/>
        <v>86.878352085142197</v>
      </c>
      <c r="CG179" s="59">
        <f t="shared" si="356"/>
        <v>-50</v>
      </c>
      <c r="CH179">
        <f t="shared" si="357"/>
        <v>-50</v>
      </c>
    </row>
    <row r="180" spans="5:86" x14ac:dyDescent="0.25">
      <c r="E180" s="150">
        <v>70</v>
      </c>
      <c r="F180" s="191">
        <f t="shared" si="358"/>
        <v>6.9999999999999993E-2</v>
      </c>
      <c r="G180" s="191"/>
      <c r="H180" s="191">
        <f t="shared" si="322"/>
        <v>1.0499999999999998</v>
      </c>
      <c r="I180" s="472">
        <f t="shared" si="323"/>
        <v>13</v>
      </c>
      <c r="J180" s="386">
        <f t="shared" si="324"/>
        <v>15.32</v>
      </c>
      <c r="K180" s="386">
        <f t="shared" si="325"/>
        <v>28.32</v>
      </c>
      <c r="L180" s="386"/>
      <c r="M180" s="191">
        <f t="shared" si="326"/>
        <v>0.54096045197740117</v>
      </c>
      <c r="N180" s="152">
        <f t="shared" si="327"/>
        <v>2.3997235845654528</v>
      </c>
      <c r="O180" s="152">
        <f t="shared" si="262"/>
        <v>1.0499999999999998</v>
      </c>
      <c r="P180" s="191">
        <f t="shared" si="328"/>
        <v>0.15998157230436352</v>
      </c>
      <c r="Q180" s="191">
        <f t="shared" si="329"/>
        <v>15</v>
      </c>
      <c r="R180" s="191"/>
      <c r="S180" s="152">
        <f t="shared" si="330"/>
        <v>49.76163580801677</v>
      </c>
      <c r="T180" s="152">
        <f t="shared" si="331"/>
        <v>15</v>
      </c>
      <c r="U180" s="191">
        <f t="shared" si="332"/>
        <v>0.33179353283791913</v>
      </c>
      <c r="V180" s="191">
        <f t="shared" si="333"/>
        <v>1.1995612341063229</v>
      </c>
      <c r="W180" s="191">
        <f t="shared" si="334"/>
        <v>1.0179044414740339</v>
      </c>
      <c r="X180" s="175">
        <f t="shared" si="335"/>
        <v>350</v>
      </c>
      <c r="Y180" s="386">
        <f t="shared" si="303"/>
        <v>350</v>
      </c>
      <c r="AA180" s="191">
        <f t="shared" si="336"/>
        <v>0.42750674016451157</v>
      </c>
      <c r="AB180" s="153">
        <f t="shared" si="337"/>
        <v>1.3115415657788541</v>
      </c>
      <c r="AC180" s="153">
        <f t="shared" si="338"/>
        <v>9.8121250390866027E-2</v>
      </c>
      <c r="AD180" s="153"/>
      <c r="AE180" s="153">
        <f t="shared" si="339"/>
        <v>0.46018276762402083</v>
      </c>
      <c r="AF180" s="317">
        <f t="shared" si="340"/>
        <v>2028.1796690307331</v>
      </c>
      <c r="AG180" s="463">
        <f t="shared" si="341"/>
        <v>1.2079797650130546E-2</v>
      </c>
      <c r="AI180" s="153">
        <f t="shared" si="342"/>
        <v>0.36108583290320911</v>
      </c>
      <c r="AJ180" s="153">
        <f t="shared" si="343"/>
        <v>0.36108583290320911</v>
      </c>
      <c r="AK180" s="153">
        <f t="shared" si="344"/>
        <v>1.3407238886021393</v>
      </c>
      <c r="AM180" s="317">
        <f t="shared" si="345"/>
        <v>69.999999999999986</v>
      </c>
      <c r="AN180" s="147">
        <f t="shared" si="346"/>
        <v>350</v>
      </c>
      <c r="AP180">
        <f t="shared" si="347"/>
        <v>69.999999999999986</v>
      </c>
      <c r="AQ180">
        <f t="shared" si="348"/>
        <v>350</v>
      </c>
      <c r="AS180" s="5">
        <f t="shared" si="263"/>
        <v>2.8571428571428572</v>
      </c>
      <c r="AT180" s="5">
        <f t="shared" si="349"/>
        <v>1.3054641651116021</v>
      </c>
      <c r="AU180" s="5">
        <f t="shared" si="304"/>
        <v>1.5516786920312551</v>
      </c>
      <c r="AV180" s="5"/>
      <c r="AW180" s="153">
        <f t="shared" si="305"/>
        <v>0.45691245778906076</v>
      </c>
      <c r="AX180" s="153">
        <f t="shared" si="259"/>
        <v>1.0724</v>
      </c>
      <c r="AY180" s="153">
        <f t="shared" si="260"/>
        <v>9.8050608759296873E-2</v>
      </c>
      <c r="AZ180" s="153">
        <f t="shared" si="264"/>
        <v>10.937208994108547</v>
      </c>
      <c r="BA180" s="147">
        <f t="shared" si="350"/>
        <v>3.4876336995076449</v>
      </c>
      <c r="BB180" s="147">
        <f t="shared" si="351"/>
        <v>8.8607838832347134</v>
      </c>
      <c r="BC180" s="5">
        <f t="shared" si="258"/>
        <v>0.18567095460203051</v>
      </c>
      <c r="BD180" s="147">
        <f t="shared" si="352"/>
        <v>14.194552364383057</v>
      </c>
      <c r="BF180" s="153">
        <f t="shared" si="265"/>
        <v>0.14091795161531578</v>
      </c>
      <c r="BG180" s="153">
        <f t="shared" si="261"/>
        <v>0.15363308179016957</v>
      </c>
      <c r="BI180" s="463">
        <f t="shared" si="306"/>
        <v>6.9502541806097671E-3</v>
      </c>
      <c r="BJ180" s="463">
        <f t="shared" si="307"/>
        <v>1.7895413878683042E-2</v>
      </c>
      <c r="BK180" s="463">
        <f t="shared" si="308"/>
        <v>4.3749999999999995E-3</v>
      </c>
      <c r="BL180" s="463">
        <f t="shared" si="309"/>
        <v>1.4035392000000001E-2</v>
      </c>
      <c r="BM180">
        <f t="shared" si="310"/>
        <v>3.7699999999999999E-3</v>
      </c>
      <c r="BN180">
        <f t="shared" si="353"/>
        <v>6.9999999999999999E-6</v>
      </c>
      <c r="BO180" s="463">
        <f t="shared" si="354"/>
        <v>4.8032938061896603E-2</v>
      </c>
      <c r="BP180" s="147">
        <f t="shared" si="311"/>
        <v>47.02606005929281</v>
      </c>
      <c r="BQ180" s="463">
        <f t="shared" si="355"/>
        <v>4.4772786598743529E-2</v>
      </c>
      <c r="BT180" s="147">
        <f t="shared" si="312"/>
        <v>44.772786598743529</v>
      </c>
      <c r="BU180" s="463">
        <f t="shared" si="313"/>
        <v>1.985786908745648E-2</v>
      </c>
      <c r="BV180" s="463">
        <f t="shared" si="314"/>
        <v>2.3603123820344935E-2</v>
      </c>
      <c r="BW180" s="463">
        <f t="shared" si="315"/>
        <v>0</v>
      </c>
      <c r="BX180" s="463"/>
      <c r="BY180" s="463">
        <f t="shared" si="316"/>
        <v>2.2817021276595753E-2</v>
      </c>
      <c r="BZ180" s="147">
        <f t="shared" si="317"/>
        <v>66.278014184397165</v>
      </c>
      <c r="CA180" s="153">
        <f t="shared" si="318"/>
        <v>0.1580768608424335</v>
      </c>
      <c r="CB180" s="5">
        <f t="shared" si="319"/>
        <v>1.0499999999999998</v>
      </c>
      <c r="CC180" s="153">
        <f t="shared" si="320"/>
        <v>0.86914999701906293</v>
      </c>
      <c r="CD180" s="5">
        <f t="shared" si="321"/>
        <v>86.914999701906297</v>
      </c>
      <c r="CG180" s="59">
        <f t="shared" si="356"/>
        <v>-50</v>
      </c>
      <c r="CH180">
        <f t="shared" si="357"/>
        <v>-50</v>
      </c>
    </row>
    <row r="181" spans="5:86" x14ac:dyDescent="0.25">
      <c r="E181" s="150">
        <v>71</v>
      </c>
      <c r="F181" s="191">
        <f t="shared" si="358"/>
        <v>7.0999999999999994E-2</v>
      </c>
      <c r="G181" s="191"/>
      <c r="H181" s="191">
        <f t="shared" si="322"/>
        <v>1.0649999999999999</v>
      </c>
      <c r="I181" s="472">
        <f t="shared" si="323"/>
        <v>13</v>
      </c>
      <c r="J181" s="386">
        <f t="shared" si="324"/>
        <v>15.32</v>
      </c>
      <c r="K181" s="386">
        <f t="shared" si="325"/>
        <v>28.32</v>
      </c>
      <c r="L181" s="386"/>
      <c r="M181" s="191">
        <f t="shared" si="326"/>
        <v>0.54096045197740117</v>
      </c>
      <c r="N181" s="152">
        <f t="shared" si="327"/>
        <v>2.3997235845654528</v>
      </c>
      <c r="O181" s="152">
        <f t="shared" si="262"/>
        <v>1.0649999999999999</v>
      </c>
      <c r="P181" s="191">
        <f t="shared" si="328"/>
        <v>0.15998157230436352</v>
      </c>
      <c r="Q181" s="191">
        <f t="shared" si="329"/>
        <v>15</v>
      </c>
      <c r="R181" s="191"/>
      <c r="S181" s="152">
        <f t="shared" si="330"/>
        <v>48.880326931570032</v>
      </c>
      <c r="T181" s="152">
        <f t="shared" si="331"/>
        <v>15</v>
      </c>
      <c r="U181" s="191">
        <f t="shared" si="332"/>
        <v>0.33653344044988948</v>
      </c>
      <c r="V181" s="191">
        <f t="shared" si="333"/>
        <v>1.216697823164985</v>
      </c>
      <c r="W181" s="191">
        <f t="shared" si="334"/>
        <v>1.0324459334950917</v>
      </c>
      <c r="X181" s="175">
        <f t="shared" si="335"/>
        <v>350</v>
      </c>
      <c r="Y181" s="386">
        <f t="shared" si="303"/>
        <v>350</v>
      </c>
      <c r="AA181" s="191">
        <f t="shared" si="336"/>
        <v>0.42750674016451157</v>
      </c>
      <c r="AB181" s="153">
        <f t="shared" si="337"/>
        <v>1.3115415657788541</v>
      </c>
      <c r="AC181" s="153">
        <f t="shared" si="338"/>
        <v>9.8121250390866027E-2</v>
      </c>
      <c r="AD181" s="153"/>
      <c r="AE181" s="153">
        <f t="shared" si="339"/>
        <v>0.46018276762402083</v>
      </c>
      <c r="AF181" s="317">
        <f t="shared" si="340"/>
        <v>2057.1536643026006</v>
      </c>
      <c r="AG181" s="463">
        <f t="shared" si="341"/>
        <v>1.2079797650130546E-2</v>
      </c>
      <c r="AI181" s="153">
        <f t="shared" si="342"/>
        <v>0.36365587126453375</v>
      </c>
      <c r="AJ181" s="153">
        <f t="shared" si="343"/>
        <v>0.36365587126453375</v>
      </c>
      <c r="AK181" s="153">
        <f t="shared" si="344"/>
        <v>1.3424372475096891</v>
      </c>
      <c r="AM181" s="317">
        <f t="shared" si="345"/>
        <v>71</v>
      </c>
      <c r="AN181" s="147">
        <f t="shared" si="346"/>
        <v>350</v>
      </c>
      <c r="AP181">
        <f t="shared" si="347"/>
        <v>71</v>
      </c>
      <c r="AQ181">
        <f t="shared" si="348"/>
        <v>350</v>
      </c>
      <c r="AS181" s="5">
        <f t="shared" si="263"/>
        <v>2.8571428571428572</v>
      </c>
      <c r="AT181" s="5">
        <f t="shared" si="349"/>
        <v>1.3147558422640835</v>
      </c>
      <c r="AU181" s="5">
        <f t="shared" si="304"/>
        <v>1.5423870148787737</v>
      </c>
      <c r="AV181" s="5"/>
      <c r="AW181" s="153">
        <f t="shared" si="305"/>
        <v>0.46016454479242919</v>
      </c>
      <c r="AX181" s="153">
        <f t="shared" si="259"/>
        <v>1.0877199999999998</v>
      </c>
      <c r="AY181" s="153">
        <f t="shared" si="260"/>
        <v>9.8157166401497672E-2</v>
      </c>
      <c r="AZ181" s="153">
        <f t="shared" si="264"/>
        <v>11.081411983215149</v>
      </c>
      <c r="BA181" s="147">
        <f t="shared" si="350"/>
        <v>3.4876336995076449</v>
      </c>
      <c r="BB181" s="147">
        <f t="shared" si="351"/>
        <v>9.1127146031400397</v>
      </c>
      <c r="BC181" s="5">
        <f t="shared" ref="BC181:BC244" si="359">H181/Efficiency/I181*AU181/Vinripple1</f>
        <v>0.18719568898528705</v>
      </c>
      <c r="BD181" s="147">
        <f t="shared" si="352"/>
        <v>14.312753596973451</v>
      </c>
      <c r="BF181" s="153">
        <f t="shared" si="265"/>
        <v>0.14242510659755911</v>
      </c>
      <c r="BG181" s="153">
        <f t="shared" si="261"/>
        <v>0.15426261130205737</v>
      </c>
      <c r="BI181" s="463">
        <f t="shared" si="306"/>
        <v>7.0997188462641261E-3</v>
      </c>
      <c r="BJ181" s="463">
        <f t="shared" si="307"/>
        <v>1.8022784979870293E-2</v>
      </c>
      <c r="BK181" s="463">
        <f t="shared" si="308"/>
        <v>4.3749999999999995E-3</v>
      </c>
      <c r="BL181" s="463">
        <f t="shared" si="309"/>
        <v>1.4035392000000001E-2</v>
      </c>
      <c r="BM181">
        <f t="shared" si="310"/>
        <v>3.7699999999999999E-3</v>
      </c>
      <c r="BN181">
        <f t="shared" si="353"/>
        <v>6.9999999999999999E-6</v>
      </c>
      <c r="BO181" s="463">
        <f t="shared" si="354"/>
        <v>4.8331667431029332E-2</v>
      </c>
      <c r="BP181" s="147">
        <f t="shared" si="311"/>
        <v>47.302895826134424</v>
      </c>
      <c r="BQ181" s="463">
        <f t="shared" si="355"/>
        <v>4.5302872279737449E-2</v>
      </c>
      <c r="BT181" s="147">
        <f t="shared" si="312"/>
        <v>45.30287227973745</v>
      </c>
      <c r="BU181" s="463">
        <f t="shared" si="313"/>
        <v>2.0284910989326076E-2</v>
      </c>
      <c r="BV181" s="463">
        <f t="shared" si="314"/>
        <v>2.3796953245729641E-2</v>
      </c>
      <c r="BW181" s="463">
        <f t="shared" si="315"/>
        <v>0</v>
      </c>
      <c r="BX181" s="463"/>
      <c r="BY181" s="463">
        <f t="shared" si="316"/>
        <v>2.3142978723404255E-2</v>
      </c>
      <c r="BZ181" s="147">
        <f t="shared" si="317"/>
        <v>67.224842958459973</v>
      </c>
      <c r="CA181" s="153">
        <f t="shared" si="318"/>
        <v>0.15983061106433186</v>
      </c>
      <c r="CB181" s="5">
        <f t="shared" si="319"/>
        <v>1.0649999999999999</v>
      </c>
      <c r="CC181" s="153">
        <f t="shared" si="320"/>
        <v>0.86950798778171856</v>
      </c>
      <c r="CD181" s="5">
        <f t="shared" si="321"/>
        <v>86.950798778171858</v>
      </c>
      <c r="CG181" s="59">
        <f t="shared" si="356"/>
        <v>-50</v>
      </c>
      <c r="CH181">
        <f t="shared" si="357"/>
        <v>-50</v>
      </c>
    </row>
    <row r="182" spans="5:86" x14ac:dyDescent="0.25">
      <c r="E182" s="150">
        <v>72</v>
      </c>
      <c r="F182" s="191">
        <f t="shared" si="358"/>
        <v>7.1999999999999995E-2</v>
      </c>
      <c r="G182" s="191"/>
      <c r="H182" s="191">
        <f t="shared" si="322"/>
        <v>1.0799999999999998</v>
      </c>
      <c r="I182" s="472">
        <f t="shared" si="323"/>
        <v>13</v>
      </c>
      <c r="J182" s="386">
        <f t="shared" si="324"/>
        <v>15.32</v>
      </c>
      <c r="K182" s="386">
        <f t="shared" si="325"/>
        <v>28.32</v>
      </c>
      <c r="L182" s="386"/>
      <c r="M182" s="191">
        <f t="shared" si="326"/>
        <v>0.54096045197740117</v>
      </c>
      <c r="N182" s="152">
        <f t="shared" si="327"/>
        <v>2.3997235845654528</v>
      </c>
      <c r="O182" s="152">
        <f t="shared" si="262"/>
        <v>1.0799999999999998</v>
      </c>
      <c r="P182" s="191">
        <f t="shared" si="328"/>
        <v>0.15998157230436352</v>
      </c>
      <c r="Q182" s="191">
        <f t="shared" si="329"/>
        <v>15</v>
      </c>
      <c r="R182" s="191"/>
      <c r="S182" s="152">
        <f t="shared" si="330"/>
        <v>48.023550774784425</v>
      </c>
      <c r="T182" s="152">
        <f t="shared" si="331"/>
        <v>15</v>
      </c>
      <c r="U182" s="191">
        <f t="shared" si="332"/>
        <v>0.34127334806185972</v>
      </c>
      <c r="V182" s="191">
        <f t="shared" si="333"/>
        <v>1.2338344122236466</v>
      </c>
      <c r="W182" s="191">
        <f t="shared" si="334"/>
        <v>1.0469874255161491</v>
      </c>
      <c r="X182" s="175">
        <f t="shared" si="335"/>
        <v>350</v>
      </c>
      <c r="Y182" s="386">
        <f t="shared" si="303"/>
        <v>350</v>
      </c>
      <c r="AA182" s="191">
        <f t="shared" si="336"/>
        <v>0.42750674016451157</v>
      </c>
      <c r="AB182" s="153">
        <f t="shared" si="337"/>
        <v>1.3115415657788541</v>
      </c>
      <c r="AC182" s="153">
        <f t="shared" si="338"/>
        <v>9.8121250390866027E-2</v>
      </c>
      <c r="AD182" s="153"/>
      <c r="AE182" s="153">
        <f t="shared" si="339"/>
        <v>0.46018276762402083</v>
      </c>
      <c r="AF182" s="317">
        <f t="shared" si="340"/>
        <v>2086.1276595744685</v>
      </c>
      <c r="AG182" s="463">
        <f t="shared" si="341"/>
        <v>1.2079797650130546E-2</v>
      </c>
      <c r="AI182" s="153">
        <f t="shared" si="342"/>
        <v>0.3662078736004048</v>
      </c>
      <c r="AJ182" s="153">
        <f t="shared" si="343"/>
        <v>0.3662078736004048</v>
      </c>
      <c r="AK182" s="153">
        <f t="shared" si="344"/>
        <v>1.3441385824002698</v>
      </c>
      <c r="AM182" s="317">
        <f t="shared" si="345"/>
        <v>72</v>
      </c>
      <c r="AN182" s="147">
        <f t="shared" si="346"/>
        <v>350</v>
      </c>
      <c r="AP182">
        <f t="shared" si="347"/>
        <v>72</v>
      </c>
      <c r="AQ182">
        <f t="shared" si="348"/>
        <v>350</v>
      </c>
      <c r="AS182" s="5">
        <f t="shared" si="263"/>
        <v>2.8571428571428572</v>
      </c>
      <c r="AT182" s="5">
        <f t="shared" si="349"/>
        <v>1.3239823122476173</v>
      </c>
      <c r="AU182" s="5">
        <f t="shared" si="304"/>
        <v>1.5331605448952399</v>
      </c>
      <c r="AV182" s="5"/>
      <c r="AW182" s="153">
        <f t="shared" si="305"/>
        <v>0.46339380928666607</v>
      </c>
      <c r="AX182" s="153">
        <f t="shared" si="259"/>
        <v>1.1030399999999996</v>
      </c>
      <c r="AY182" s="153">
        <f t="shared" si="260"/>
        <v>9.8254706030971653E-2</v>
      </c>
      <c r="AZ182" s="153">
        <f t="shared" si="264"/>
        <v>11.226332504137781</v>
      </c>
      <c r="BA182" s="147">
        <f t="shared" si="350"/>
        <v>3.4876336995076449</v>
      </c>
      <c r="BB182" s="147">
        <f t="shared" si="351"/>
        <v>9.3681762552426022</v>
      </c>
      <c r="BC182" s="5">
        <f t="shared" si="359"/>
        <v>0.18869668244864488</v>
      </c>
      <c r="BD182" s="147">
        <f t="shared" si="352"/>
        <v>14.429174260571443</v>
      </c>
      <c r="BF182" s="153">
        <f t="shared" si="265"/>
        <v>0.14392696383149806</v>
      </c>
      <c r="BG182" s="153">
        <f t="shared" si="261"/>
        <v>0.15487983937413113</v>
      </c>
      <c r="BI182" s="463">
        <f t="shared" si="306"/>
        <v>7.2502398212136712E-3</v>
      </c>
      <c r="BJ182" s="463">
        <f t="shared" si="307"/>
        <v>1.8149262215636064E-2</v>
      </c>
      <c r="BK182" s="463">
        <f t="shared" si="308"/>
        <v>4.3749999999999995E-3</v>
      </c>
      <c r="BL182" s="463">
        <f t="shared" si="309"/>
        <v>1.4035392000000001E-2</v>
      </c>
      <c r="BM182">
        <f t="shared" si="310"/>
        <v>3.7699999999999999E-3</v>
      </c>
      <c r="BN182">
        <f t="shared" si="353"/>
        <v>6.9999999999999999E-6</v>
      </c>
      <c r="BO182" s="463">
        <f t="shared" si="354"/>
        <v>4.8630728242343255E-2</v>
      </c>
      <c r="BP182" s="147">
        <f t="shared" si="311"/>
        <v>47.579894036849737</v>
      </c>
      <c r="BQ182" s="463">
        <f t="shared" si="355"/>
        <v>4.5830652188441283E-2</v>
      </c>
      <c r="BT182" s="147">
        <f t="shared" si="312"/>
        <v>45.830652188441285</v>
      </c>
      <c r="BU182" s="463">
        <f t="shared" si="313"/>
        <v>2.0714970917753348E-2</v>
      </c>
      <c r="BV182" s="463">
        <f t="shared" si="314"/>
        <v>2.398776464455666E-2</v>
      </c>
      <c r="BW182" s="463">
        <f t="shared" si="315"/>
        <v>0</v>
      </c>
      <c r="BX182" s="463"/>
      <c r="BY182" s="463">
        <f t="shared" si="316"/>
        <v>2.3468936170212763E-2</v>
      </c>
      <c r="BZ182" s="147">
        <f t="shared" si="317"/>
        <v>68.171671732522782</v>
      </c>
      <c r="CA182" s="153">
        <f t="shared" si="318"/>
        <v>0.16158221795781377</v>
      </c>
      <c r="CB182" s="5">
        <f t="shared" si="319"/>
        <v>1.0799999999999998</v>
      </c>
      <c r="CC182" s="153">
        <f t="shared" si="320"/>
        <v>0.86985781882122293</v>
      </c>
      <c r="CD182" s="5">
        <f t="shared" si="321"/>
        <v>86.985781882122296</v>
      </c>
      <c r="CG182" s="59">
        <f t="shared" si="356"/>
        <v>-50</v>
      </c>
      <c r="CH182">
        <f t="shared" si="357"/>
        <v>-50</v>
      </c>
    </row>
    <row r="183" spans="5:86" x14ac:dyDescent="0.25">
      <c r="E183" s="150">
        <v>73</v>
      </c>
      <c r="F183" s="191">
        <f t="shared" si="358"/>
        <v>7.2999999999999995E-2</v>
      </c>
      <c r="G183" s="191"/>
      <c r="H183" s="191">
        <f t="shared" si="322"/>
        <v>1.095</v>
      </c>
      <c r="I183" s="472">
        <f t="shared" si="323"/>
        <v>13</v>
      </c>
      <c r="J183" s="386">
        <f t="shared" si="324"/>
        <v>15.32</v>
      </c>
      <c r="K183" s="386">
        <f t="shared" si="325"/>
        <v>28.32</v>
      </c>
      <c r="L183" s="386"/>
      <c r="M183" s="191">
        <f t="shared" si="326"/>
        <v>0.54096045197740117</v>
      </c>
      <c r="N183" s="152">
        <f t="shared" si="327"/>
        <v>2.3997235845654528</v>
      </c>
      <c r="O183" s="152">
        <f t="shared" si="262"/>
        <v>1.095</v>
      </c>
      <c r="P183" s="191">
        <f t="shared" si="328"/>
        <v>0.15998157230436352</v>
      </c>
      <c r="Q183" s="191">
        <f t="shared" si="329"/>
        <v>15</v>
      </c>
      <c r="R183" s="191"/>
      <c r="S183" s="152">
        <f t="shared" si="330"/>
        <v>47.190299687285936</v>
      </c>
      <c r="T183" s="152">
        <f t="shared" si="331"/>
        <v>15</v>
      </c>
      <c r="U183" s="191">
        <f t="shared" si="332"/>
        <v>0.34601325567383001</v>
      </c>
      <c r="V183" s="191">
        <f t="shared" si="333"/>
        <v>1.2509710012823085</v>
      </c>
      <c r="W183" s="191">
        <f t="shared" si="334"/>
        <v>1.0615289175372069</v>
      </c>
      <c r="X183" s="175">
        <f t="shared" si="335"/>
        <v>350</v>
      </c>
      <c r="Y183" s="386">
        <f t="shared" si="303"/>
        <v>350</v>
      </c>
      <c r="AA183" s="191">
        <f t="shared" si="336"/>
        <v>0.42750674016451157</v>
      </c>
      <c r="AB183" s="153">
        <f t="shared" si="337"/>
        <v>1.3115415657788541</v>
      </c>
      <c r="AC183" s="153">
        <f t="shared" si="338"/>
        <v>9.8121250390866027E-2</v>
      </c>
      <c r="AD183" s="153"/>
      <c r="AE183" s="153">
        <f t="shared" si="339"/>
        <v>0.46018276762402083</v>
      </c>
      <c r="AF183" s="317">
        <f t="shared" si="340"/>
        <v>2115.1016548463363</v>
      </c>
      <c r="AG183" s="463">
        <f t="shared" si="341"/>
        <v>1.2079797650130546E-2</v>
      </c>
      <c r="AI183" s="153">
        <f t="shared" si="342"/>
        <v>0.36874221438383342</v>
      </c>
      <c r="AJ183" s="153">
        <f t="shared" si="343"/>
        <v>0.36874221438383342</v>
      </c>
      <c r="AK183" s="153">
        <f t="shared" si="344"/>
        <v>1.3458281429225556</v>
      </c>
      <c r="AM183" s="317">
        <f t="shared" si="345"/>
        <v>73</v>
      </c>
      <c r="AN183" s="147">
        <f t="shared" si="346"/>
        <v>350</v>
      </c>
      <c r="AP183">
        <f t="shared" si="347"/>
        <v>73</v>
      </c>
      <c r="AQ183">
        <f t="shared" si="348"/>
        <v>350</v>
      </c>
      <c r="AS183" s="5">
        <f t="shared" si="263"/>
        <v>2.8571428571428572</v>
      </c>
      <c r="AT183" s="5">
        <f t="shared" si="349"/>
        <v>1.333144928926167</v>
      </c>
      <c r="AU183" s="5">
        <f t="shared" si="304"/>
        <v>1.5239979282166902</v>
      </c>
      <c r="AV183" s="5"/>
      <c r="AW183" s="153">
        <f t="shared" si="305"/>
        <v>0.46660072512415846</v>
      </c>
      <c r="AX183" s="153">
        <f t="shared" si="259"/>
        <v>1.1183599999999994</v>
      </c>
      <c r="AY183" s="153">
        <f t="shared" si="260"/>
        <v>9.8343414884224434E-2</v>
      </c>
      <c r="AZ183" s="153">
        <f t="shared" si="264"/>
        <v>11.371986638013308</v>
      </c>
      <c r="BA183" s="147">
        <f t="shared" si="350"/>
        <v>3.4876336995076449</v>
      </c>
      <c r="BB183" s="147">
        <f t="shared" si="351"/>
        <v>9.6271688395424064</v>
      </c>
      <c r="BC183" s="5">
        <f t="shared" si="359"/>
        <v>0.19017410044413396</v>
      </c>
      <c r="BD183" s="147">
        <f t="shared" si="352"/>
        <v>14.543826764079281</v>
      </c>
      <c r="BF183" s="153">
        <f t="shared" si="265"/>
        <v>0.1454236151383709</v>
      </c>
      <c r="BG183" s="153">
        <f t="shared" si="261"/>
        <v>0.15548498014165649</v>
      </c>
      <c r="BI183" s="463">
        <f t="shared" si="306"/>
        <v>7.4018097439695566E-3</v>
      </c>
      <c r="BJ183" s="463">
        <f t="shared" si="307"/>
        <v>1.8274864144862783E-2</v>
      </c>
      <c r="BK183" s="463">
        <f t="shared" si="308"/>
        <v>4.3749999999999995E-3</v>
      </c>
      <c r="BL183" s="463">
        <f t="shared" si="309"/>
        <v>1.4035392000000001E-2</v>
      </c>
      <c r="BM183">
        <f t="shared" si="310"/>
        <v>3.7699999999999999E-3</v>
      </c>
      <c r="BN183">
        <f t="shared" si="353"/>
        <v>6.9999999999999999E-6</v>
      </c>
      <c r="BO183" s="463">
        <f t="shared" si="354"/>
        <v>4.8930130849578368E-2</v>
      </c>
      <c r="BP183" s="147">
        <f t="shared" si="311"/>
        <v>47.857065888832338</v>
      </c>
      <c r="BQ183" s="463">
        <f t="shared" si="355"/>
        <v>4.6356142393933604E-2</v>
      </c>
      <c r="BT183" s="147">
        <f t="shared" si="312"/>
        <v>46.356142393933602</v>
      </c>
      <c r="BU183" s="463">
        <f t="shared" si="313"/>
        <v>2.1148027839913021E-2</v>
      </c>
      <c r="BV183" s="463">
        <f t="shared" si="314"/>
        <v>2.4175579049651313E-2</v>
      </c>
      <c r="BW183" s="463">
        <f t="shared" si="315"/>
        <v>0</v>
      </c>
      <c r="BX183" s="463"/>
      <c r="BY183" s="463">
        <f t="shared" si="316"/>
        <v>2.3794893617021268E-2</v>
      </c>
      <c r="BZ183" s="147">
        <f t="shared" si="317"/>
        <v>69.118500506585605</v>
      </c>
      <c r="CA183" s="153">
        <f t="shared" si="318"/>
        <v>0.16333170878935155</v>
      </c>
      <c r="CB183" s="5">
        <f t="shared" si="319"/>
        <v>1.095</v>
      </c>
      <c r="CC183" s="153">
        <f t="shared" si="320"/>
        <v>0.8701997989492819</v>
      </c>
      <c r="CD183" s="5">
        <f t="shared" si="321"/>
        <v>87.019979894928184</v>
      </c>
      <c r="CG183" s="59">
        <f t="shared" si="356"/>
        <v>-50</v>
      </c>
      <c r="CH183">
        <f t="shared" si="357"/>
        <v>-50</v>
      </c>
    </row>
    <row r="184" spans="5:86" x14ac:dyDescent="0.25">
      <c r="E184" s="150">
        <v>74</v>
      </c>
      <c r="F184" s="191">
        <f t="shared" si="358"/>
        <v>7.3999999999999996E-2</v>
      </c>
      <c r="G184" s="191"/>
      <c r="H184" s="191">
        <f t="shared" si="322"/>
        <v>1.1099999999999999</v>
      </c>
      <c r="I184" s="472">
        <f t="shared" si="323"/>
        <v>13</v>
      </c>
      <c r="J184" s="386">
        <f t="shared" si="324"/>
        <v>15.32</v>
      </c>
      <c r="K184" s="386">
        <f t="shared" si="325"/>
        <v>28.32</v>
      </c>
      <c r="L184" s="386"/>
      <c r="M184" s="191">
        <f t="shared" si="326"/>
        <v>0.54096045197740117</v>
      </c>
      <c r="N184" s="152">
        <f t="shared" si="327"/>
        <v>2.3997235845654528</v>
      </c>
      <c r="O184" s="152">
        <f t="shared" si="262"/>
        <v>1.1099999999999999</v>
      </c>
      <c r="P184" s="191">
        <f t="shared" si="328"/>
        <v>0.15998157230436352</v>
      </c>
      <c r="Q184" s="191">
        <f t="shared" si="329"/>
        <v>15</v>
      </c>
      <c r="R184" s="191"/>
      <c r="S184" s="152">
        <f t="shared" si="330"/>
        <v>46.379620493568709</v>
      </c>
      <c r="T184" s="152">
        <f t="shared" si="331"/>
        <v>15</v>
      </c>
      <c r="U184" s="191">
        <f t="shared" si="332"/>
        <v>0.35075316328580025</v>
      </c>
      <c r="V184" s="191">
        <f t="shared" si="333"/>
        <v>1.2681075903409702</v>
      </c>
      <c r="W184" s="191">
        <f t="shared" si="334"/>
        <v>1.0760704095582645</v>
      </c>
      <c r="X184" s="175">
        <f t="shared" si="335"/>
        <v>350</v>
      </c>
      <c r="Y184" s="386">
        <f t="shared" si="303"/>
        <v>350</v>
      </c>
      <c r="AA184" s="191">
        <f t="shared" si="336"/>
        <v>0.42750674016451157</v>
      </c>
      <c r="AB184" s="153">
        <f t="shared" si="337"/>
        <v>1.3115415657788541</v>
      </c>
      <c r="AC184" s="153">
        <f t="shared" si="338"/>
        <v>9.8121250390866027E-2</v>
      </c>
      <c r="AD184" s="153"/>
      <c r="AE184" s="153">
        <f t="shared" si="339"/>
        <v>0.46018276762402083</v>
      </c>
      <c r="AF184" s="317">
        <f t="shared" si="340"/>
        <v>2144.0756501182036</v>
      </c>
      <c r="AG184" s="463">
        <f t="shared" si="341"/>
        <v>1.2079797650130546E-2</v>
      </c>
      <c r="AI184" s="153">
        <f t="shared" si="342"/>
        <v>0.37125925530612153</v>
      </c>
      <c r="AJ184" s="153">
        <f t="shared" si="343"/>
        <v>0.37125925530612153</v>
      </c>
      <c r="AK184" s="153">
        <f t="shared" si="344"/>
        <v>1.3475061702040809</v>
      </c>
      <c r="AM184" s="317">
        <f t="shared" si="345"/>
        <v>74</v>
      </c>
      <c r="AN184" s="147">
        <f t="shared" si="346"/>
        <v>350</v>
      </c>
      <c r="AP184">
        <f t="shared" si="347"/>
        <v>74</v>
      </c>
      <c r="AQ184">
        <f t="shared" si="348"/>
        <v>350</v>
      </c>
      <c r="AS184" s="5">
        <f t="shared" si="263"/>
        <v>2.8571428571428572</v>
      </c>
      <c r="AT184" s="5">
        <f t="shared" si="349"/>
        <v>1.3422449999529009</v>
      </c>
      <c r="AU184" s="5">
        <f t="shared" si="304"/>
        <v>1.5148978571899563</v>
      </c>
      <c r="AV184" s="5"/>
      <c r="AW184" s="153">
        <f t="shared" si="305"/>
        <v>0.4697857499835153</v>
      </c>
      <c r="AX184" s="153">
        <f t="shared" si="259"/>
        <v>1.1336799999999998</v>
      </c>
      <c r="AY184" s="153">
        <f t="shared" si="260"/>
        <v>9.8423473806906928E-2</v>
      </c>
      <c r="AZ184" s="153">
        <f t="shared" si="264"/>
        <v>11.518390442346316</v>
      </c>
      <c r="BA184" s="147">
        <f t="shared" si="350"/>
        <v>3.4876336995076449</v>
      </c>
      <c r="BB184" s="147">
        <f t="shared" si="351"/>
        <v>9.889692356039447</v>
      </c>
      <c r="BC184" s="5">
        <f t="shared" si="359"/>
        <v>0.19162810501206282</v>
      </c>
      <c r="BD184" s="147">
        <f t="shared" si="352"/>
        <v>14.656723260520099</v>
      </c>
      <c r="BF184" s="153">
        <f t="shared" si="265"/>
        <v>0.14691514951389265</v>
      </c>
      <c r="BG184" s="153">
        <f t="shared" si="261"/>
        <v>0.15607824018782762</v>
      </c>
      <c r="BI184" s="463">
        <f t="shared" si="306"/>
        <v>7.5544214048412998E-3</v>
      </c>
      <c r="BJ184" s="463">
        <f t="shared" si="307"/>
        <v>1.8399608692971383E-2</v>
      </c>
      <c r="BK184" s="463">
        <f t="shared" si="308"/>
        <v>4.3749999999999995E-3</v>
      </c>
      <c r="BL184" s="463">
        <f t="shared" si="309"/>
        <v>1.4035392000000001E-2</v>
      </c>
      <c r="BM184">
        <f t="shared" si="310"/>
        <v>3.7699999999999999E-3</v>
      </c>
      <c r="BN184">
        <f t="shared" si="353"/>
        <v>6.9999999999999999E-6</v>
      </c>
      <c r="BO184" s="463">
        <f t="shared" si="354"/>
        <v>4.9229885145966552E-2</v>
      </c>
      <c r="BP184" s="147">
        <f t="shared" si="311"/>
        <v>48.134422097812688</v>
      </c>
      <c r="BQ184" s="463">
        <f t="shared" si="355"/>
        <v>4.6879358633938724E-2</v>
      </c>
      <c r="BT184" s="147">
        <f t="shared" si="312"/>
        <v>46.879358633938722</v>
      </c>
      <c r="BU184" s="463">
        <f t="shared" si="313"/>
        <v>2.158406115668943E-2</v>
      </c>
      <c r="BV184" s="463">
        <f t="shared" si="314"/>
        <v>2.4360417060129209E-2</v>
      </c>
      <c r="BW184" s="463">
        <f t="shared" si="315"/>
        <v>0</v>
      </c>
      <c r="BX184" s="463"/>
      <c r="BY184" s="463">
        <f t="shared" si="316"/>
        <v>2.4120851063829791E-2</v>
      </c>
      <c r="BZ184" s="147">
        <f t="shared" si="317"/>
        <v>70.065329280648427</v>
      </c>
      <c r="CA184" s="153">
        <f t="shared" si="318"/>
        <v>0.16507911001239986</v>
      </c>
      <c r="CB184" s="5">
        <f t="shared" si="319"/>
        <v>1.1099999999999999</v>
      </c>
      <c r="CC184" s="153">
        <f t="shared" si="320"/>
        <v>0.87053422119762081</v>
      </c>
      <c r="CD184" s="5">
        <f t="shared" si="321"/>
        <v>87.053422119762075</v>
      </c>
      <c r="CG184" s="59">
        <f t="shared" si="356"/>
        <v>-50</v>
      </c>
      <c r="CH184">
        <f t="shared" si="357"/>
        <v>-50</v>
      </c>
    </row>
    <row r="185" spans="5:86" x14ac:dyDescent="0.25">
      <c r="E185" s="150">
        <v>75</v>
      </c>
      <c r="F185" s="191">
        <f t="shared" si="358"/>
        <v>7.5000000000000011E-2</v>
      </c>
      <c r="G185" s="191"/>
      <c r="H185" s="191">
        <f t="shared" si="322"/>
        <v>1.1250000000000002</v>
      </c>
      <c r="I185" s="472">
        <f t="shared" si="323"/>
        <v>13</v>
      </c>
      <c r="J185" s="386">
        <f t="shared" si="324"/>
        <v>15.32</v>
      </c>
      <c r="K185" s="386">
        <f t="shared" si="325"/>
        <v>28.32</v>
      </c>
      <c r="L185" s="386"/>
      <c r="M185" s="191">
        <f t="shared" si="326"/>
        <v>0.54096045197740117</v>
      </c>
      <c r="N185" s="152">
        <f t="shared" si="327"/>
        <v>2.3997235845654528</v>
      </c>
      <c r="O185" s="152">
        <f t="shared" si="262"/>
        <v>1.1250000000000002</v>
      </c>
      <c r="P185" s="191">
        <f t="shared" si="328"/>
        <v>0.15998157230436352</v>
      </c>
      <c r="Q185" s="191">
        <f t="shared" si="329"/>
        <v>15</v>
      </c>
      <c r="R185" s="191"/>
      <c r="S185" s="152">
        <f t="shared" si="330"/>
        <v>45.590610861453214</v>
      </c>
      <c r="T185" s="152">
        <f t="shared" si="331"/>
        <v>15</v>
      </c>
      <c r="U185" s="191">
        <f t="shared" si="332"/>
        <v>0.35549307089777066</v>
      </c>
      <c r="V185" s="191">
        <f t="shared" si="333"/>
        <v>1.2852441793996321</v>
      </c>
      <c r="W185" s="191">
        <f t="shared" si="334"/>
        <v>1.0906119015793223</v>
      </c>
      <c r="X185" s="175">
        <f t="shared" si="335"/>
        <v>350</v>
      </c>
      <c r="Y185" s="386">
        <f t="shared" si="303"/>
        <v>350</v>
      </c>
      <c r="AA185" s="191">
        <f t="shared" si="336"/>
        <v>0.42750674016451157</v>
      </c>
      <c r="AB185" s="153">
        <f t="shared" si="337"/>
        <v>1.3115415657788541</v>
      </c>
      <c r="AC185" s="153">
        <f t="shared" si="338"/>
        <v>9.8121250390866027E-2</v>
      </c>
      <c r="AD185" s="153"/>
      <c r="AE185" s="153">
        <f t="shared" si="339"/>
        <v>0.46018276762402083</v>
      </c>
      <c r="AF185" s="317">
        <f t="shared" si="340"/>
        <v>2173.0496453900719</v>
      </c>
      <c r="AG185" s="463">
        <f t="shared" si="341"/>
        <v>1.2079797650130546E-2</v>
      </c>
      <c r="AI185" s="153">
        <f t="shared" si="342"/>
        <v>0.37375934587942927</v>
      </c>
      <c r="AJ185" s="153">
        <f t="shared" si="343"/>
        <v>0.37375934587942927</v>
      </c>
      <c r="AK185" s="153">
        <f t="shared" si="344"/>
        <v>1.3491728972529529</v>
      </c>
      <c r="AM185" s="317">
        <f t="shared" si="345"/>
        <v>75.000000000000014</v>
      </c>
      <c r="AN185" s="147">
        <f t="shared" si="346"/>
        <v>350</v>
      </c>
      <c r="AP185">
        <f t="shared" si="347"/>
        <v>75.000000000000014</v>
      </c>
      <c r="AQ185">
        <f t="shared" si="348"/>
        <v>350</v>
      </c>
      <c r="AS185" s="5">
        <f t="shared" si="263"/>
        <v>2.8571428571428572</v>
      </c>
      <c r="AT185" s="5">
        <f t="shared" si="349"/>
        <v>1.3512837889487059</v>
      </c>
      <c r="AU185" s="5">
        <f t="shared" si="304"/>
        <v>1.5058590681941513</v>
      </c>
      <c r="AV185" s="5"/>
      <c r="AW185" s="153">
        <f t="shared" si="305"/>
        <v>0.47294932613204704</v>
      </c>
      <c r="AX185" s="153">
        <f t="shared" si="259"/>
        <v>1.149</v>
      </c>
      <c r="AY185" s="153">
        <f t="shared" si="260"/>
        <v>9.8495057555099269E-2</v>
      </c>
      <c r="AZ185" s="153">
        <f t="shared" si="264"/>
        <v>11.6655599633234</v>
      </c>
      <c r="BA185" s="147">
        <f t="shared" si="350"/>
        <v>3.4876336995076449</v>
      </c>
      <c r="BB185" s="147">
        <f t="shared" si="351"/>
        <v>10.155746804733733</v>
      </c>
      <c r="BC185" s="5">
        <f t="shared" si="359"/>
        <v>0.19305885489668609</v>
      </c>
      <c r="BD185" s="147">
        <f t="shared" si="352"/>
        <v>14.767875655712992</v>
      </c>
      <c r="BF185" s="153">
        <f t="shared" si="265"/>
        <v>0.14840165325215393</v>
      </c>
      <c r="BG185" s="153">
        <f t="shared" si="261"/>
        <v>0.15665981889463687</v>
      </c>
      <c r="BI185" s="463">
        <f t="shared" si="306"/>
        <v>7.7080677407903846E-3</v>
      </c>
      <c r="BJ185" s="463">
        <f t="shared" si="307"/>
        <v>1.8523513181784516E-2</v>
      </c>
      <c r="BK185" s="463">
        <f t="shared" si="308"/>
        <v>4.3749999999999995E-3</v>
      </c>
      <c r="BL185" s="463">
        <f t="shared" si="309"/>
        <v>1.4035392000000001E-2</v>
      </c>
      <c r="BM185">
        <f t="shared" si="310"/>
        <v>3.7699999999999999E-3</v>
      </c>
      <c r="BN185">
        <f t="shared" si="353"/>
        <v>6.9999999999999999E-6</v>
      </c>
      <c r="BO185" s="463">
        <f t="shared" si="354"/>
        <v>4.9530000588232814E-2</v>
      </c>
      <c r="BP185" s="147">
        <f t="shared" si="311"/>
        <v>48.411972922574911</v>
      </c>
      <c r="BQ185" s="463">
        <f t="shared" si="355"/>
        <v>4.7400316326060732E-2</v>
      </c>
      <c r="BT185" s="147">
        <f t="shared" si="312"/>
        <v>47.400316326060732</v>
      </c>
      <c r="BU185" s="463">
        <f t="shared" si="313"/>
        <v>2.2023050687972529E-2</v>
      </c>
      <c r="BV185" s="463">
        <f t="shared" si="314"/>
        <v>2.4542298856100424E-2</v>
      </c>
      <c r="BW185" s="463">
        <f t="shared" si="315"/>
        <v>0</v>
      </c>
      <c r="BX185" s="463"/>
      <c r="BY185" s="463">
        <f t="shared" si="316"/>
        <v>2.4446808510638303E-2</v>
      </c>
      <c r="BZ185" s="147">
        <f t="shared" si="317"/>
        <v>71.01215805471125</v>
      </c>
      <c r="CA185" s="153">
        <f t="shared" si="318"/>
        <v>0.16682444730334689</v>
      </c>
      <c r="CB185" s="5">
        <f t="shared" si="319"/>
        <v>1.1250000000000002</v>
      </c>
      <c r="CC185" s="153">
        <f t="shared" si="320"/>
        <v>0.87086136382417212</v>
      </c>
      <c r="CD185" s="5">
        <f t="shared" si="321"/>
        <v>87.086136382417209</v>
      </c>
      <c r="CG185" s="59">
        <f t="shared" si="356"/>
        <v>-50</v>
      </c>
      <c r="CH185">
        <f t="shared" si="357"/>
        <v>-50</v>
      </c>
    </row>
    <row r="186" spans="5:86" x14ac:dyDescent="0.25">
      <c r="E186" s="150">
        <v>76</v>
      </c>
      <c r="F186" s="191">
        <f t="shared" si="358"/>
        <v>7.6000000000000012E-2</v>
      </c>
      <c r="G186" s="191"/>
      <c r="H186" s="191">
        <f t="shared" si="322"/>
        <v>1.1400000000000001</v>
      </c>
      <c r="I186" s="472">
        <f t="shared" si="323"/>
        <v>13</v>
      </c>
      <c r="J186" s="386">
        <f t="shared" si="324"/>
        <v>15.32</v>
      </c>
      <c r="K186" s="386">
        <f t="shared" si="325"/>
        <v>28.32</v>
      </c>
      <c r="L186" s="386"/>
      <c r="M186" s="191">
        <f t="shared" si="326"/>
        <v>0.54096045197740117</v>
      </c>
      <c r="N186" s="152">
        <f t="shared" si="327"/>
        <v>2.3997235845654528</v>
      </c>
      <c r="O186" s="152">
        <f t="shared" si="262"/>
        <v>1.1400000000000001</v>
      </c>
      <c r="P186" s="191">
        <f t="shared" si="328"/>
        <v>0.15998157230436352</v>
      </c>
      <c r="Q186" s="191">
        <f t="shared" si="329"/>
        <v>15</v>
      </c>
      <c r="R186" s="191"/>
      <c r="S186" s="152">
        <f t="shared" si="330"/>
        <v>44.82241595724733</v>
      </c>
      <c r="T186" s="152">
        <f t="shared" si="331"/>
        <v>15</v>
      </c>
      <c r="U186" s="191">
        <f t="shared" si="332"/>
        <v>0.3602329785097409</v>
      </c>
      <c r="V186" s="191">
        <f t="shared" si="333"/>
        <v>1.302380768458294</v>
      </c>
      <c r="W186" s="191">
        <f t="shared" si="334"/>
        <v>1.1051533936003799</v>
      </c>
      <c r="X186" s="175">
        <f t="shared" si="335"/>
        <v>350</v>
      </c>
      <c r="Y186" s="386">
        <f t="shared" si="303"/>
        <v>350</v>
      </c>
      <c r="AA186" s="191">
        <f t="shared" si="336"/>
        <v>0.42750674016451157</v>
      </c>
      <c r="AB186" s="153">
        <f t="shared" si="337"/>
        <v>1.3115415657788541</v>
      </c>
      <c r="AC186" s="153">
        <f t="shared" si="338"/>
        <v>9.8121250390866027E-2</v>
      </c>
      <c r="AD186" s="153"/>
      <c r="AE186" s="153">
        <f t="shared" si="339"/>
        <v>0.46018276762402083</v>
      </c>
      <c r="AF186" s="317">
        <f t="shared" si="340"/>
        <v>2202.0236406619397</v>
      </c>
      <c r="AG186" s="463">
        <f t="shared" si="341"/>
        <v>1.2079797650130546E-2</v>
      </c>
      <c r="AI186" s="153">
        <f t="shared" si="342"/>
        <v>0.37624282400330478</v>
      </c>
      <c r="AJ186" s="153">
        <f t="shared" si="343"/>
        <v>0.37624282400330478</v>
      </c>
      <c r="AK186" s="153">
        <f t="shared" si="344"/>
        <v>1.3508285493355365</v>
      </c>
      <c r="AM186" s="317">
        <f t="shared" si="345"/>
        <v>76.000000000000014</v>
      </c>
      <c r="AN186" s="147">
        <f t="shared" si="346"/>
        <v>350</v>
      </c>
      <c r="AP186">
        <f t="shared" si="347"/>
        <v>76.000000000000014</v>
      </c>
      <c r="AQ186">
        <f t="shared" si="348"/>
        <v>350</v>
      </c>
      <c r="AS186" s="5">
        <f t="shared" si="263"/>
        <v>2.8571428571428572</v>
      </c>
      <c r="AT186" s="5">
        <f t="shared" si="349"/>
        <v>1.3602625175504095</v>
      </c>
      <c r="AU186" s="5">
        <f t="shared" si="304"/>
        <v>1.4968803395924477</v>
      </c>
      <c r="AV186" s="5"/>
      <c r="AW186" s="153">
        <f t="shared" si="305"/>
        <v>0.47609188114264334</v>
      </c>
      <c r="AX186" s="153">
        <f t="shared" si="259"/>
        <v>1.1643200000000002</v>
      </c>
      <c r="AY186" s="153">
        <f t="shared" si="260"/>
        <v>9.8558335078575462E-2</v>
      </c>
      <c r="AZ186" s="153">
        <f t="shared" si="264"/>
        <v>11.813511247645854</v>
      </c>
      <c r="BA186" s="147">
        <f t="shared" si="350"/>
        <v>3.4876336995076449</v>
      </c>
      <c r="BB186" s="147">
        <f t="shared" si="351"/>
        <v>10.425332185625249</v>
      </c>
      <c r="BC186" s="5">
        <f t="shared" si="359"/>
        <v>0.19446650565645476</v>
      </c>
      <c r="BD186" s="147">
        <f t="shared" si="352"/>
        <v>14.877295616541801</v>
      </c>
      <c r="BF186" s="153">
        <f t="shared" si="265"/>
        <v>0.14988321006250985</v>
      </c>
      <c r="BG186" s="153">
        <f t="shared" si="261"/>
        <v>0.15722990877274209</v>
      </c>
      <c r="BI186" s="463">
        <f t="shared" si="306"/>
        <v>7.8627418305248584E-3</v>
      </c>
      <c r="BJ186" s="463">
        <f t="shared" si="307"/>
        <v>1.8646594357603786E-2</v>
      </c>
      <c r="BK186" s="463">
        <f t="shared" si="308"/>
        <v>4.3749999999999995E-3</v>
      </c>
      <c r="BL186" s="463">
        <f t="shared" si="309"/>
        <v>1.4035392000000001E-2</v>
      </c>
      <c r="BM186">
        <f t="shared" si="310"/>
        <v>3.7699999999999999E-3</v>
      </c>
      <c r="BN186">
        <f t="shared" si="353"/>
        <v>6.9999999999999999E-6</v>
      </c>
      <c r="BO186" s="463">
        <f t="shared" si="354"/>
        <v>4.9830486219084875E-2</v>
      </c>
      <c r="BP186" s="147">
        <f t="shared" si="311"/>
        <v>48.689728188128647</v>
      </c>
      <c r="BQ186" s="463">
        <f t="shared" si="355"/>
        <v>4.7919030578491194E-2</v>
      </c>
      <c r="BT186" s="147">
        <f t="shared" si="312"/>
        <v>47.919030578491196</v>
      </c>
      <c r="BU186" s="463">
        <f t="shared" si="313"/>
        <v>2.2464976658642454E-2</v>
      </c>
      <c r="BV186" s="463">
        <f t="shared" si="314"/>
        <v>2.47212442126848E-2</v>
      </c>
      <c r="BW186" s="463">
        <f t="shared" si="315"/>
        <v>0</v>
      </c>
      <c r="BX186" s="463"/>
      <c r="BY186" s="463">
        <f t="shared" si="316"/>
        <v>2.4772765957446815E-2</v>
      </c>
      <c r="BZ186" s="147">
        <f t="shared" si="317"/>
        <v>71.958986828774073</v>
      </c>
      <c r="CA186" s="153">
        <f t="shared" si="318"/>
        <v>0.16856774559539392</v>
      </c>
      <c r="CB186" s="5">
        <f t="shared" si="319"/>
        <v>1.1400000000000001</v>
      </c>
      <c r="CC186" s="153">
        <f t="shared" si="320"/>
        <v>0.87118149124278144</v>
      </c>
      <c r="CD186" s="5">
        <f t="shared" si="321"/>
        <v>87.118149124278148</v>
      </c>
      <c r="CG186" s="59">
        <f t="shared" si="356"/>
        <v>-50</v>
      </c>
      <c r="CH186">
        <f t="shared" si="357"/>
        <v>-50</v>
      </c>
    </row>
    <row r="187" spans="5:86" x14ac:dyDescent="0.25">
      <c r="E187" s="150">
        <v>77</v>
      </c>
      <c r="F187" s="191">
        <f t="shared" si="358"/>
        <v>7.7000000000000013E-2</v>
      </c>
      <c r="G187" s="191"/>
      <c r="H187" s="191">
        <f t="shared" si="322"/>
        <v>1.1550000000000002</v>
      </c>
      <c r="I187" s="472">
        <f t="shared" si="323"/>
        <v>13</v>
      </c>
      <c r="J187" s="386">
        <f t="shared" si="324"/>
        <v>15.32</v>
      </c>
      <c r="K187" s="386">
        <f t="shared" si="325"/>
        <v>28.32</v>
      </c>
      <c r="L187" s="386"/>
      <c r="M187" s="191">
        <f t="shared" si="326"/>
        <v>0.54096045197740117</v>
      </c>
      <c r="N187" s="152">
        <f t="shared" si="327"/>
        <v>2.3997235845654528</v>
      </c>
      <c r="O187" s="152">
        <f t="shared" si="262"/>
        <v>1.1550000000000002</v>
      </c>
      <c r="P187" s="191">
        <f t="shared" si="328"/>
        <v>0.15998157230436352</v>
      </c>
      <c r="Q187" s="191">
        <f t="shared" si="329"/>
        <v>15</v>
      </c>
      <c r="R187" s="191"/>
      <c r="S187" s="152">
        <f t="shared" si="330"/>
        <v>44.074225361546141</v>
      </c>
      <c r="T187" s="152">
        <f t="shared" si="331"/>
        <v>15</v>
      </c>
      <c r="U187" s="191">
        <f t="shared" si="332"/>
        <v>0.36497288612171119</v>
      </c>
      <c r="V187" s="191">
        <f t="shared" si="333"/>
        <v>1.3195173575169559</v>
      </c>
      <c r="W187" s="191">
        <f t="shared" si="334"/>
        <v>1.1196948856214379</v>
      </c>
      <c r="X187" s="175">
        <f t="shared" si="335"/>
        <v>350</v>
      </c>
      <c r="Y187" s="386">
        <f t="shared" si="303"/>
        <v>350</v>
      </c>
      <c r="AA187" s="191">
        <f t="shared" si="336"/>
        <v>0.42750674016451157</v>
      </c>
      <c r="AB187" s="153">
        <f t="shared" si="337"/>
        <v>1.3115415657788541</v>
      </c>
      <c r="AC187" s="153">
        <f t="shared" si="338"/>
        <v>9.8121250390866027E-2</v>
      </c>
      <c r="AD187" s="153"/>
      <c r="AE187" s="153">
        <f t="shared" si="339"/>
        <v>0.46018276762402083</v>
      </c>
      <c r="AF187" s="317">
        <f t="shared" si="340"/>
        <v>2230.997635933807</v>
      </c>
      <c r="AG187" s="463">
        <f t="shared" si="341"/>
        <v>1.2079797650130546E-2</v>
      </c>
      <c r="AI187" s="153">
        <f t="shared" si="342"/>
        <v>0.37871001649777458</v>
      </c>
      <c r="AJ187" s="153">
        <f t="shared" si="343"/>
        <v>0.37871001649777458</v>
      </c>
      <c r="AK187" s="153">
        <f t="shared" si="344"/>
        <v>1.3524733443318497</v>
      </c>
      <c r="AM187" s="317">
        <f t="shared" si="345"/>
        <v>77.000000000000014</v>
      </c>
      <c r="AN187" s="147">
        <f t="shared" si="346"/>
        <v>350</v>
      </c>
      <c r="AP187">
        <f t="shared" si="347"/>
        <v>77.000000000000014</v>
      </c>
      <c r="AQ187">
        <f t="shared" si="348"/>
        <v>350</v>
      </c>
      <c r="AS187" s="5">
        <f t="shared" si="263"/>
        <v>2.8571428571428572</v>
      </c>
      <c r="AT187" s="5">
        <f t="shared" si="349"/>
        <v>1.3691823673381081</v>
      </c>
      <c r="AU187" s="5">
        <f t="shared" si="304"/>
        <v>1.4879604898047492</v>
      </c>
      <c r="AV187" s="5"/>
      <c r="AW187" s="153">
        <f t="shared" si="305"/>
        <v>0.47921382856833783</v>
      </c>
      <c r="AX187" s="153">
        <f t="shared" si="259"/>
        <v>1.17964</v>
      </c>
      <c r="AY187" s="153">
        <f t="shared" si="260"/>
        <v>9.861346978734882E-2</v>
      </c>
      <c r="AZ187" s="153">
        <f t="shared" si="264"/>
        <v>11.962260353923138</v>
      </c>
      <c r="BA187" s="147">
        <f t="shared" si="350"/>
        <v>3.4876336995076449</v>
      </c>
      <c r="BB187" s="147">
        <f t="shared" si="351"/>
        <v>10.69844849871401</v>
      </c>
      <c r="BC187" s="5">
        <f t="shared" si="359"/>
        <v>0.19585120976917214</v>
      </c>
      <c r="BD187" s="147">
        <f t="shared" si="352"/>
        <v>14.984994578841757</v>
      </c>
      <c r="BF187" s="153">
        <f t="shared" si="265"/>
        <v>0.15135990117994194</v>
      </c>
      <c r="BG187" s="153">
        <f t="shared" si="261"/>
        <v>0.15778869577184476</v>
      </c>
      <c r="BI187" s="463">
        <f t="shared" si="306"/>
        <v>8.0184368898206255E-3</v>
      </c>
      <c r="BJ187" s="463">
        <f t="shared" si="307"/>
        <v>1.876886841762971E-2</v>
      </c>
      <c r="BK187" s="463">
        <f t="shared" si="308"/>
        <v>4.3749999999999995E-3</v>
      </c>
      <c r="BL187" s="463">
        <f t="shared" si="309"/>
        <v>1.4035392000000001E-2</v>
      </c>
      <c r="BM187">
        <f t="shared" si="310"/>
        <v>3.7699999999999999E-3</v>
      </c>
      <c r="BN187">
        <f t="shared" si="353"/>
        <v>6.9999999999999999E-6</v>
      </c>
      <c r="BO187" s="463">
        <f t="shared" si="354"/>
        <v>5.0131350688303968E-2</v>
      </c>
      <c r="BP187" s="147">
        <f t="shared" si="311"/>
        <v>48.967697307450344</v>
      </c>
      <c r="BQ187" s="463">
        <f t="shared" si="355"/>
        <v>4.8435516200222163E-2</v>
      </c>
      <c r="BT187" s="147">
        <f t="shared" si="312"/>
        <v>48.43551620022216</v>
      </c>
      <c r="BU187" s="463">
        <f t="shared" si="313"/>
        <v>2.2909819685201789E-2</v>
      </c>
      <c r="BV187" s="463">
        <f t="shared" si="314"/>
        <v>2.4897272513379781E-2</v>
      </c>
      <c r="BW187" s="463">
        <f t="shared" si="315"/>
        <v>0</v>
      </c>
      <c r="BX187" s="463"/>
      <c r="BY187" s="463">
        <f t="shared" si="316"/>
        <v>2.5098723404255324E-2</v>
      </c>
      <c r="BZ187" s="147">
        <f t="shared" si="317"/>
        <v>72.905815602836896</v>
      </c>
      <c r="CA187" s="153">
        <f t="shared" si="318"/>
        <v>0.17030902911050938</v>
      </c>
      <c r="CB187" s="5">
        <f t="shared" si="319"/>
        <v>1.1550000000000002</v>
      </c>
      <c r="CC187" s="153">
        <f t="shared" si="320"/>
        <v>0.87149485488315626</v>
      </c>
      <c r="CD187" s="5">
        <f t="shared" si="321"/>
        <v>87.149485488315619</v>
      </c>
      <c r="CG187" s="59">
        <f t="shared" si="356"/>
        <v>-50</v>
      </c>
      <c r="CH187">
        <f t="shared" si="357"/>
        <v>-50</v>
      </c>
    </row>
    <row r="188" spans="5:86" x14ac:dyDescent="0.25">
      <c r="E188" s="150">
        <v>78</v>
      </c>
      <c r="F188" s="191">
        <f t="shared" si="358"/>
        <v>7.8000000000000014E-2</v>
      </c>
      <c r="G188" s="191"/>
      <c r="H188" s="191">
        <f t="shared" si="322"/>
        <v>1.1700000000000002</v>
      </c>
      <c r="I188" s="472">
        <f t="shared" si="323"/>
        <v>13</v>
      </c>
      <c r="J188" s="386">
        <f t="shared" si="324"/>
        <v>15.32</v>
      </c>
      <c r="K188" s="386">
        <f t="shared" si="325"/>
        <v>28.32</v>
      </c>
      <c r="L188" s="386"/>
      <c r="M188" s="191">
        <f t="shared" si="326"/>
        <v>0.54096045197740117</v>
      </c>
      <c r="N188" s="152">
        <f t="shared" si="327"/>
        <v>2.3997235845654528</v>
      </c>
      <c r="O188" s="152">
        <f t="shared" si="262"/>
        <v>1.1700000000000002</v>
      </c>
      <c r="P188" s="191">
        <f t="shared" si="328"/>
        <v>0.15998157230436352</v>
      </c>
      <c r="Q188" s="191">
        <f t="shared" si="329"/>
        <v>15</v>
      </c>
      <c r="R188" s="191"/>
      <c r="S188" s="152">
        <f t="shared" si="330"/>
        <v>43.345270222280149</v>
      </c>
      <c r="T188" s="152">
        <f t="shared" si="331"/>
        <v>15</v>
      </c>
      <c r="U188" s="191">
        <f t="shared" si="332"/>
        <v>0.36971279373368143</v>
      </c>
      <c r="V188" s="191">
        <f t="shared" si="333"/>
        <v>1.3366539465756173</v>
      </c>
      <c r="W188" s="191">
        <f t="shared" si="334"/>
        <v>1.1342363776424953</v>
      </c>
      <c r="X188" s="175">
        <f t="shared" si="335"/>
        <v>350</v>
      </c>
      <c r="Y188" s="386">
        <f t="shared" si="303"/>
        <v>350</v>
      </c>
      <c r="AA188" s="191">
        <f t="shared" si="336"/>
        <v>0.42750674016451157</v>
      </c>
      <c r="AB188" s="153">
        <f t="shared" si="337"/>
        <v>1.3115415657788541</v>
      </c>
      <c r="AC188" s="153">
        <f t="shared" si="338"/>
        <v>9.8121250390866027E-2</v>
      </c>
      <c r="AD188" s="153"/>
      <c r="AE188" s="153">
        <f t="shared" si="339"/>
        <v>0.46018276762402083</v>
      </c>
      <c r="AF188" s="317">
        <f t="shared" si="340"/>
        <v>2259.9716312056748</v>
      </c>
      <c r="AG188" s="463">
        <f t="shared" si="341"/>
        <v>1.2079797650130546E-2</v>
      </c>
      <c r="AI188" s="153">
        <f t="shared" si="342"/>
        <v>0.38116123960537701</v>
      </c>
      <c r="AJ188" s="153">
        <f t="shared" si="343"/>
        <v>0.38116123960537701</v>
      </c>
      <c r="AK188" s="153">
        <f t="shared" si="344"/>
        <v>1.3541074930702512</v>
      </c>
      <c r="AM188" s="317">
        <f t="shared" si="345"/>
        <v>78.000000000000014</v>
      </c>
      <c r="AN188" s="147">
        <f t="shared" si="346"/>
        <v>350</v>
      </c>
      <c r="AP188">
        <f t="shared" si="347"/>
        <v>78.000000000000014</v>
      </c>
      <c r="AQ188">
        <f t="shared" si="348"/>
        <v>350</v>
      </c>
      <c r="AS188" s="5">
        <f t="shared" si="263"/>
        <v>2.8571428571428572</v>
      </c>
      <c r="AT188" s="5">
        <f t="shared" si="349"/>
        <v>1.3780444816502091</v>
      </c>
      <c r="AU188" s="5">
        <f t="shared" si="304"/>
        <v>1.4790983754926481</v>
      </c>
      <c r="AV188" s="5"/>
      <c r="AW188" s="153">
        <f t="shared" si="305"/>
        <v>0.48231556857757318</v>
      </c>
      <c r="AX188" s="153">
        <f t="shared" si="259"/>
        <v>1.19496</v>
      </c>
      <c r="AY188" s="153">
        <f t="shared" si="260"/>
        <v>9.866061980268849E-2</v>
      </c>
      <c r="AZ188" s="153">
        <f t="shared" si="264"/>
        <v>12.111823363666295</v>
      </c>
      <c r="BA188" s="147">
        <f t="shared" si="350"/>
        <v>3.4876336995076449</v>
      </c>
      <c r="BB188" s="147">
        <f t="shared" si="351"/>
        <v>10.975095744000003</v>
      </c>
      <c r="BC188" s="5">
        <f t="shared" si="359"/>
        <v>0.19721311673235309</v>
      </c>
      <c r="BD188" s="147">
        <f t="shared" si="352"/>
        <v>15.090983754926482</v>
      </c>
      <c r="BF188" s="153">
        <f t="shared" si="265"/>
        <v>0.15283180546933778</v>
      </c>
      <c r="BG188" s="153">
        <f t="shared" si="261"/>
        <v>0.15833635957296219</v>
      </c>
      <c r="BI188" s="463">
        <f t="shared" si="306"/>
        <v>8.1751462670561267E-3</v>
      </c>
      <c r="BJ188" s="463">
        <f t="shared" si="307"/>
        <v>1.8890351034842486E-2</v>
      </c>
      <c r="BK188" s="463">
        <f t="shared" si="308"/>
        <v>4.3749999999999995E-3</v>
      </c>
      <c r="BL188" s="463">
        <f t="shared" si="309"/>
        <v>1.4035392000000001E-2</v>
      </c>
      <c r="BM188">
        <f t="shared" si="310"/>
        <v>3.7699999999999999E-3</v>
      </c>
      <c r="BN188">
        <f t="shared" si="353"/>
        <v>6.9999999999999999E-6</v>
      </c>
      <c r="BO188" s="463">
        <f t="shared" si="354"/>
        <v>5.0432602272539248E-2</v>
      </c>
      <c r="BP188" s="147">
        <f t="shared" si="311"/>
        <v>49.245889301898615</v>
      </c>
      <c r="BQ188" s="463">
        <f t="shared" si="355"/>
        <v>4.8949787710793245E-2</v>
      </c>
      <c r="BT188" s="147">
        <f t="shared" si="312"/>
        <v>48.949787710793245</v>
      </c>
      <c r="BU188" s="463">
        <f t="shared" si="313"/>
        <v>2.3357560763017506E-2</v>
      </c>
      <c r="BV188" s="463">
        <f t="shared" si="314"/>
        <v>2.5070402762818373E-2</v>
      </c>
      <c r="BW188" s="463">
        <f t="shared" si="315"/>
        <v>0</v>
      </c>
      <c r="BX188" s="463"/>
      <c r="BY188" s="463">
        <f t="shared" si="316"/>
        <v>2.5424680851063839E-2</v>
      </c>
      <c r="BZ188" s="147">
        <f t="shared" si="317"/>
        <v>73.852644376899718</v>
      </c>
      <c r="CA188" s="153">
        <f t="shared" si="318"/>
        <v>0.17204832138959159</v>
      </c>
      <c r="CB188" s="5">
        <f t="shared" si="319"/>
        <v>1.1700000000000002</v>
      </c>
      <c r="CC188" s="153">
        <f t="shared" si="320"/>
        <v>0.8718016939871075</v>
      </c>
      <c r="CD188" s="5">
        <f t="shared" si="321"/>
        <v>87.180169398710746</v>
      </c>
      <c r="CG188" s="59">
        <f t="shared" si="356"/>
        <v>-50</v>
      </c>
      <c r="CH188">
        <f t="shared" si="357"/>
        <v>-50</v>
      </c>
    </row>
    <row r="189" spans="5:86" x14ac:dyDescent="0.25">
      <c r="E189" s="150">
        <v>79</v>
      </c>
      <c r="F189" s="191">
        <f t="shared" si="358"/>
        <v>7.9000000000000015E-2</v>
      </c>
      <c r="G189" s="191"/>
      <c r="H189" s="191">
        <f t="shared" si="322"/>
        <v>1.1850000000000003</v>
      </c>
      <c r="I189" s="472">
        <f t="shared" si="323"/>
        <v>13</v>
      </c>
      <c r="J189" s="386">
        <f t="shared" si="324"/>
        <v>15.32</v>
      </c>
      <c r="K189" s="386">
        <f t="shared" si="325"/>
        <v>28.32</v>
      </c>
      <c r="L189" s="386"/>
      <c r="M189" s="191">
        <f t="shared" si="326"/>
        <v>0.54096045197740117</v>
      </c>
      <c r="N189" s="152">
        <f t="shared" si="327"/>
        <v>2.3997235845654528</v>
      </c>
      <c r="O189" s="152">
        <f t="shared" si="262"/>
        <v>1.1850000000000003</v>
      </c>
      <c r="P189" s="191">
        <f t="shared" si="328"/>
        <v>0.15998157230436352</v>
      </c>
      <c r="Q189" s="191">
        <f t="shared" si="329"/>
        <v>15</v>
      </c>
      <c r="R189" s="191"/>
      <c r="S189" s="152">
        <f t="shared" si="330"/>
        <v>42.634820623989846</v>
      </c>
      <c r="T189" s="152">
        <f t="shared" si="331"/>
        <v>15</v>
      </c>
      <c r="U189" s="191">
        <f t="shared" si="332"/>
        <v>0.37445270134565173</v>
      </c>
      <c r="V189" s="191">
        <f t="shared" si="333"/>
        <v>1.3537905356342794</v>
      </c>
      <c r="W189" s="191">
        <f t="shared" si="334"/>
        <v>1.1487778696635529</v>
      </c>
      <c r="X189" s="175">
        <f t="shared" si="335"/>
        <v>350</v>
      </c>
      <c r="Y189" s="386">
        <f t="shared" si="303"/>
        <v>350</v>
      </c>
      <c r="AA189" s="191">
        <f t="shared" si="336"/>
        <v>0.42750674016451157</v>
      </c>
      <c r="AB189" s="153">
        <f t="shared" si="337"/>
        <v>1.3115415657788541</v>
      </c>
      <c r="AC189" s="153">
        <f t="shared" si="338"/>
        <v>9.8121250390866027E-2</v>
      </c>
      <c r="AD189" s="153"/>
      <c r="AE189" s="153">
        <f t="shared" si="339"/>
        <v>0.46018276762402083</v>
      </c>
      <c r="AF189" s="317">
        <f t="shared" si="340"/>
        <v>2288.9456264775422</v>
      </c>
      <c r="AG189" s="463">
        <f t="shared" si="341"/>
        <v>1.2079797650130546E-2</v>
      </c>
      <c r="AI189" s="153">
        <f t="shared" si="342"/>
        <v>0.38359679946432101</v>
      </c>
      <c r="AJ189" s="153">
        <f t="shared" si="343"/>
        <v>0.38359679946432101</v>
      </c>
      <c r="AK189" s="153">
        <f t="shared" si="344"/>
        <v>1.3557311996428807</v>
      </c>
      <c r="AM189" s="317">
        <f t="shared" si="345"/>
        <v>79.000000000000014</v>
      </c>
      <c r="AN189" s="147">
        <f t="shared" si="346"/>
        <v>350</v>
      </c>
      <c r="AP189">
        <f t="shared" si="347"/>
        <v>79.000000000000014</v>
      </c>
      <c r="AQ189">
        <f t="shared" si="348"/>
        <v>350</v>
      </c>
      <c r="AS189" s="5">
        <f t="shared" si="263"/>
        <v>2.8571428571428572</v>
      </c>
      <c r="AT189" s="5">
        <f t="shared" si="349"/>
        <v>1.3868499672940835</v>
      </c>
      <c r="AU189" s="5">
        <f t="shared" si="304"/>
        <v>1.4702928898487737</v>
      </c>
      <c r="AV189" s="5"/>
      <c r="AW189" s="153">
        <f t="shared" si="305"/>
        <v>0.48539748855292919</v>
      </c>
      <c r="AX189" s="153">
        <f t="shared" si="259"/>
        <v>1.2102799999999998</v>
      </c>
      <c r="AY189" s="153">
        <f t="shared" si="260"/>
        <v>9.8699938193698988E-2</v>
      </c>
      <c r="AZ189" s="153">
        <f t="shared" si="264"/>
        <v>12.262216391917297</v>
      </c>
      <c r="BA189" s="147">
        <f t="shared" si="350"/>
        <v>3.4876336995076449</v>
      </c>
      <c r="BB189" s="147">
        <f t="shared" si="351"/>
        <v>11.255273921483242</v>
      </c>
      <c r="BC189" s="5">
        <f t="shared" si="359"/>
        <v>0.19855237315906518</v>
      </c>
      <c r="BD189" s="147">
        <f t="shared" si="352"/>
        <v>15.195274140776043</v>
      </c>
      <c r="BF189" s="153">
        <f t="shared" si="265"/>
        <v>0.1542989995240972</v>
      </c>
      <c r="BG189" s="153">
        <f t="shared" si="261"/>
        <v>0.15887307386386412</v>
      </c>
      <c r="BI189" s="463">
        <f t="shared" si="306"/>
        <v>8.3328634389480717E-3</v>
      </c>
      <c r="BJ189" s="463">
        <f t="shared" si="307"/>
        <v>1.9011057381451753E-2</v>
      </c>
      <c r="BK189" s="463">
        <f t="shared" si="308"/>
        <v>4.3749999999999995E-3</v>
      </c>
      <c r="BL189" s="463">
        <f t="shared" si="309"/>
        <v>1.4035392000000001E-2</v>
      </c>
      <c r="BM189">
        <f t="shared" si="310"/>
        <v>3.7699999999999999E-3</v>
      </c>
      <c r="BN189">
        <f t="shared" si="353"/>
        <v>6.9999999999999999E-6</v>
      </c>
      <c r="BO189" s="463">
        <f t="shared" si="354"/>
        <v>5.0734248893900401E-2</v>
      </c>
      <c r="BP189" s="147">
        <f t="shared" si="311"/>
        <v>49.524312820399828</v>
      </c>
      <c r="BQ189" s="463">
        <f t="shared" si="355"/>
        <v>4.9461859349599971E-2</v>
      </c>
      <c r="BT189" s="147">
        <f t="shared" si="312"/>
        <v>49.461859349599969</v>
      </c>
      <c r="BU189" s="463">
        <f t="shared" si="313"/>
        <v>2.3808181254137348E-2</v>
      </c>
      <c r="BV189" s="463">
        <f t="shared" si="314"/>
        <v>2.5240653598952827E-2</v>
      </c>
      <c r="BW189" s="463">
        <f t="shared" si="315"/>
        <v>0</v>
      </c>
      <c r="BX189" s="463"/>
      <c r="BY189" s="463">
        <f t="shared" si="316"/>
        <v>2.5750638297872344E-2</v>
      </c>
      <c r="BZ189" s="147">
        <f t="shared" si="317"/>
        <v>74.799473150962527</v>
      </c>
      <c r="CA189" s="153">
        <f t="shared" si="318"/>
        <v>0.1737856453209623</v>
      </c>
      <c r="CB189" s="5">
        <f t="shared" si="319"/>
        <v>1.1850000000000003</v>
      </c>
      <c r="CC189" s="153">
        <f t="shared" si="320"/>
        <v>0.87210223634654904</v>
      </c>
      <c r="CD189" s="5">
        <f t="shared" si="321"/>
        <v>87.210223634654909</v>
      </c>
      <c r="CG189" s="59">
        <f t="shared" si="356"/>
        <v>-50</v>
      </c>
      <c r="CH189">
        <f t="shared" si="357"/>
        <v>-50</v>
      </c>
    </row>
    <row r="190" spans="5:86" x14ac:dyDescent="0.25">
      <c r="E190" s="150">
        <v>80</v>
      </c>
      <c r="F190" s="191">
        <f t="shared" si="358"/>
        <v>8.0000000000000016E-2</v>
      </c>
      <c r="G190" s="191"/>
      <c r="H190" s="191">
        <f t="shared" si="322"/>
        <v>1.2000000000000002</v>
      </c>
      <c r="I190" s="472">
        <f t="shared" si="323"/>
        <v>13</v>
      </c>
      <c r="J190" s="386">
        <f t="shared" si="324"/>
        <v>15.32</v>
      </c>
      <c r="K190" s="386">
        <f t="shared" si="325"/>
        <v>28.32</v>
      </c>
      <c r="L190" s="386"/>
      <c r="M190" s="191">
        <f t="shared" si="326"/>
        <v>0.54096045197740117</v>
      </c>
      <c r="N190" s="152">
        <f t="shared" si="327"/>
        <v>2.3997235845654528</v>
      </c>
      <c r="O190" s="152">
        <f t="shared" si="262"/>
        <v>1.2000000000000002</v>
      </c>
      <c r="P190" s="191">
        <f t="shared" si="328"/>
        <v>0.15998157230436352</v>
      </c>
      <c r="Q190" s="191">
        <f t="shared" si="329"/>
        <v>15</v>
      </c>
      <c r="R190" s="191"/>
      <c r="S190" s="152">
        <f t="shared" si="330"/>
        <v>41.942183154406642</v>
      </c>
      <c r="T190" s="152">
        <f t="shared" si="331"/>
        <v>15</v>
      </c>
      <c r="U190" s="191">
        <f t="shared" si="332"/>
        <v>0.37919260895762197</v>
      </c>
      <c r="V190" s="191">
        <f t="shared" si="333"/>
        <v>1.3709271246929409</v>
      </c>
      <c r="W190" s="191">
        <f t="shared" si="334"/>
        <v>1.1633193616846103</v>
      </c>
      <c r="X190" s="175">
        <f t="shared" si="335"/>
        <v>350</v>
      </c>
      <c r="Y190" s="386">
        <f t="shared" si="303"/>
        <v>350</v>
      </c>
      <c r="AA190" s="191">
        <f t="shared" si="336"/>
        <v>0.42750674016451157</v>
      </c>
      <c r="AB190" s="153">
        <f t="shared" si="337"/>
        <v>1.3115415657788541</v>
      </c>
      <c r="AC190" s="153">
        <f t="shared" si="338"/>
        <v>9.8121250390866027E-2</v>
      </c>
      <c r="AD190" s="153"/>
      <c r="AE190" s="153">
        <f t="shared" si="339"/>
        <v>0.46018276762402083</v>
      </c>
      <c r="AF190" s="317">
        <f t="shared" si="340"/>
        <v>2317.91962174941</v>
      </c>
      <c r="AG190" s="463">
        <f t="shared" si="341"/>
        <v>1.2079797650130546E-2</v>
      </c>
      <c r="AI190" s="153">
        <f t="shared" si="342"/>
        <v>0.38601699255477534</v>
      </c>
      <c r="AJ190" s="153">
        <f t="shared" si="343"/>
        <v>0.38601699255477534</v>
      </c>
      <c r="AK190" s="153">
        <f t="shared" si="344"/>
        <v>1.3573446617031835</v>
      </c>
      <c r="AM190" s="317">
        <f t="shared" si="345"/>
        <v>80.000000000000014</v>
      </c>
      <c r="AN190" s="147">
        <f t="shared" si="346"/>
        <v>350</v>
      </c>
      <c r="AP190">
        <f t="shared" si="347"/>
        <v>80.000000000000014</v>
      </c>
      <c r="AQ190">
        <f t="shared" si="348"/>
        <v>350</v>
      </c>
      <c r="AS190" s="5">
        <f t="shared" si="263"/>
        <v>2.8571428571428572</v>
      </c>
      <c r="AT190" s="5">
        <f t="shared" si="349"/>
        <v>1.3955998961595721</v>
      </c>
      <c r="AU190" s="5">
        <f t="shared" si="304"/>
        <v>1.4615429609832851</v>
      </c>
      <c r="AV190" s="5"/>
      <c r="AW190" s="153">
        <f t="shared" si="305"/>
        <v>0.48845996365585026</v>
      </c>
      <c r="AX190" s="153">
        <f t="shared" si="259"/>
        <v>1.2256000000000002</v>
      </c>
      <c r="AY190" s="153">
        <f t="shared" si="260"/>
        <v>9.8731573200464592E-2</v>
      </c>
      <c r="AZ190" s="153">
        <f t="shared" si="264"/>
        <v>12.413455597547726</v>
      </c>
      <c r="BA190" s="147">
        <f t="shared" si="350"/>
        <v>3.4876336995076449</v>
      </c>
      <c r="BB190" s="147">
        <f t="shared" si="351"/>
        <v>11.538983031163713</v>
      </c>
      <c r="BC190" s="5">
        <f t="shared" si="359"/>
        <v>0.19986912286950909</v>
      </c>
      <c r="BD190" s="147">
        <f t="shared" si="352"/>
        <v>15.297876522905492</v>
      </c>
      <c r="BF190" s="153">
        <f t="shared" si="265"/>
        <v>0.1557615577594415</v>
      </c>
      <c r="BG190" s="153">
        <f t="shared" si="261"/>
        <v>0.15939900659883885</v>
      </c>
      <c r="BI190" s="463">
        <f t="shared" si="306"/>
        <v>8.4915820064767403E-3</v>
      </c>
      <c r="BJ190" s="463">
        <f t="shared" si="307"/>
        <v>1.9131002151014667E-2</v>
      </c>
      <c r="BK190" s="463">
        <f t="shared" si="308"/>
        <v>4.3749999999999995E-3</v>
      </c>
      <c r="BL190" s="463">
        <f t="shared" si="309"/>
        <v>1.4035392000000001E-2</v>
      </c>
      <c r="BM190">
        <f t="shared" si="310"/>
        <v>3.7699999999999999E-3</v>
      </c>
      <c r="BN190">
        <f t="shared" si="353"/>
        <v>6.9999999999999999E-6</v>
      </c>
      <c r="BO190" s="463">
        <f t="shared" si="354"/>
        <v>5.1036298137434384E-2</v>
      </c>
      <c r="BP190" s="147">
        <f t="shared" si="311"/>
        <v>49.802976157491408</v>
      </c>
      <c r="BQ190" s="463">
        <f t="shared" si="355"/>
        <v>4.9971745084788272E-2</v>
      </c>
      <c r="BT190" s="147">
        <f t="shared" si="312"/>
        <v>49.971745084788274</v>
      </c>
      <c r="BU190" s="463">
        <f t="shared" si="313"/>
        <v>2.4261662875647832E-2</v>
      </c>
      <c r="BV190" s="463">
        <f t="shared" si="314"/>
        <v>2.5408043304696672E-2</v>
      </c>
      <c r="BW190" s="463">
        <f t="shared" si="315"/>
        <v>0</v>
      </c>
      <c r="BX190" s="463"/>
      <c r="BY190" s="463">
        <f t="shared" si="316"/>
        <v>2.6076595744680867E-2</v>
      </c>
      <c r="BZ190" s="147">
        <f t="shared" si="317"/>
        <v>75.746301925025378</v>
      </c>
      <c r="CA190" s="153">
        <f t="shared" si="318"/>
        <v>0.17552102316730506</v>
      </c>
      <c r="CB190" s="5">
        <f t="shared" si="319"/>
        <v>1.2000000000000002</v>
      </c>
      <c r="CC190" s="153">
        <f t="shared" si="320"/>
        <v>0.87239669898817951</v>
      </c>
      <c r="CD190" s="5">
        <f t="shared" si="321"/>
        <v>87.239669898817951</v>
      </c>
      <c r="CG190" s="59">
        <f t="shared" si="356"/>
        <v>-50</v>
      </c>
      <c r="CH190">
        <f t="shared" si="357"/>
        <v>-50</v>
      </c>
    </row>
    <row r="191" spans="5:86" x14ac:dyDescent="0.25">
      <c r="E191" s="150">
        <v>81</v>
      </c>
      <c r="F191" s="191">
        <f t="shared" si="358"/>
        <v>8.1000000000000016E-2</v>
      </c>
      <c r="G191" s="191"/>
      <c r="H191" s="191">
        <f t="shared" si="322"/>
        <v>1.2150000000000003</v>
      </c>
      <c r="I191" s="472">
        <f t="shared" si="323"/>
        <v>13</v>
      </c>
      <c r="J191" s="386">
        <f t="shared" si="324"/>
        <v>15.32</v>
      </c>
      <c r="K191" s="386">
        <f t="shared" si="325"/>
        <v>28.32</v>
      </c>
      <c r="L191" s="386"/>
      <c r="M191" s="191">
        <f t="shared" si="326"/>
        <v>0.54096045197740117</v>
      </c>
      <c r="N191" s="152">
        <f t="shared" si="327"/>
        <v>2.3997235845654528</v>
      </c>
      <c r="O191" s="152">
        <f t="shared" si="262"/>
        <v>1.2150000000000003</v>
      </c>
      <c r="P191" s="191">
        <f t="shared" si="328"/>
        <v>0.15998157230436352</v>
      </c>
      <c r="Q191" s="191">
        <f t="shared" si="329"/>
        <v>15</v>
      </c>
      <c r="R191" s="191"/>
      <c r="S191" s="152">
        <f t="shared" si="330"/>
        <v>41.266698651289488</v>
      </c>
      <c r="T191" s="152">
        <f t="shared" si="331"/>
        <v>15</v>
      </c>
      <c r="U191" s="191">
        <f t="shared" si="332"/>
        <v>0.38393251656959232</v>
      </c>
      <c r="V191" s="191">
        <f t="shared" si="333"/>
        <v>1.388063713751603</v>
      </c>
      <c r="W191" s="191">
        <f t="shared" si="334"/>
        <v>1.1778608537056685</v>
      </c>
      <c r="X191" s="175">
        <f t="shared" si="335"/>
        <v>350</v>
      </c>
      <c r="Y191" s="386">
        <f t="shared" si="303"/>
        <v>350</v>
      </c>
      <c r="AA191" s="191">
        <f t="shared" si="336"/>
        <v>0.42750674016451157</v>
      </c>
      <c r="AB191" s="153">
        <f t="shared" si="337"/>
        <v>1.3115415657788541</v>
      </c>
      <c r="AC191" s="153">
        <f t="shared" si="338"/>
        <v>9.8121250390866027E-2</v>
      </c>
      <c r="AD191" s="153"/>
      <c r="AE191" s="153">
        <f t="shared" si="339"/>
        <v>0.46018276762402083</v>
      </c>
      <c r="AF191" s="317">
        <f t="shared" si="340"/>
        <v>2346.8936170212774</v>
      </c>
      <c r="AG191" s="463">
        <f t="shared" si="341"/>
        <v>1.2079797650130546E-2</v>
      </c>
      <c r="AI191" s="153">
        <f t="shared" si="342"/>
        <v>0.38842210612012851</v>
      </c>
      <c r="AJ191" s="153">
        <f t="shared" si="343"/>
        <v>0.38842210612012851</v>
      </c>
      <c r="AK191" s="153">
        <f t="shared" si="344"/>
        <v>1.3589480707467523</v>
      </c>
      <c r="AM191" s="317">
        <f t="shared" si="345"/>
        <v>81.000000000000014</v>
      </c>
      <c r="AN191" s="147">
        <f t="shared" si="346"/>
        <v>350</v>
      </c>
      <c r="AP191">
        <f t="shared" si="347"/>
        <v>81.000000000000014</v>
      </c>
      <c r="AQ191">
        <f t="shared" si="348"/>
        <v>350</v>
      </c>
      <c r="AS191" s="5">
        <f t="shared" si="263"/>
        <v>2.8571428571428572</v>
      </c>
      <c r="AT191" s="5">
        <f t="shared" si="349"/>
        <v>1.4042953067420032</v>
      </c>
      <c r="AU191" s="5">
        <f t="shared" si="304"/>
        <v>1.452847550400854</v>
      </c>
      <c r="AV191" s="5"/>
      <c r="AW191" s="153">
        <f t="shared" si="305"/>
        <v>0.49150335735970113</v>
      </c>
      <c r="AX191" s="153">
        <f t="shared" si="259"/>
        <v>1.2409200000000002</v>
      </c>
      <c r="AY191" s="153">
        <f t="shared" si="260"/>
        <v>9.8755668444679603E-2</v>
      </c>
      <c r="AZ191" s="153">
        <f t="shared" si="264"/>
        <v>12.565557193257538</v>
      </c>
      <c r="BA191" s="147">
        <f t="shared" si="350"/>
        <v>3.4876336995076449</v>
      </c>
      <c r="BB191" s="147">
        <f t="shared" si="351"/>
        <v>11.826223073041428</v>
      </c>
      <c r="BC191" s="5">
        <f t="shared" si="359"/>
        <v>0.20116350697857985</v>
      </c>
      <c r="BD191" s="147">
        <f t="shared" si="352"/>
        <v>15.398801484931951</v>
      </c>
      <c r="BF191" s="153">
        <f t="shared" si="265"/>
        <v>0.15721955250077224</v>
      </c>
      <c r="BG191" s="153">
        <f t="shared" si="261"/>
        <v>0.15991432024385968</v>
      </c>
      <c r="BI191" s="463">
        <f t="shared" si="306"/>
        <v>8.6512956909900775E-3</v>
      </c>
      <c r="BJ191" s="463">
        <f t="shared" si="307"/>
        <v>1.9250199579313568E-2</v>
      </c>
      <c r="BK191" s="463">
        <f t="shared" si="308"/>
        <v>4.3749999999999995E-3</v>
      </c>
      <c r="BL191" s="463">
        <f t="shared" si="309"/>
        <v>1.4035392000000001E-2</v>
      </c>
      <c r="BM191">
        <f t="shared" si="310"/>
        <v>3.7699999999999999E-3</v>
      </c>
      <c r="BN191">
        <f t="shared" si="353"/>
        <v>6.9999999999999999E-6</v>
      </c>
      <c r="BO191" s="463">
        <f t="shared" si="354"/>
        <v>5.1338757267565538E-2</v>
      </c>
      <c r="BP191" s="147">
        <f t="shared" si="311"/>
        <v>50.081887270303646</v>
      </c>
      <c r="BQ191" s="463">
        <f t="shared" si="355"/>
        <v>5.0479458621758566E-2</v>
      </c>
      <c r="BT191" s="147">
        <f t="shared" si="312"/>
        <v>50.479458621758567</v>
      </c>
      <c r="BU191" s="463">
        <f t="shared" si="313"/>
        <v>2.471798768854308E-2</v>
      </c>
      <c r="BV191" s="463">
        <f t="shared" si="314"/>
        <v>2.5572589819055712E-2</v>
      </c>
      <c r="BW191" s="463">
        <f t="shared" si="315"/>
        <v>0</v>
      </c>
      <c r="BX191" s="463"/>
      <c r="BY191" s="463">
        <f t="shared" si="316"/>
        <v>2.6402553191489372E-2</v>
      </c>
      <c r="BZ191" s="147">
        <f t="shared" si="317"/>
        <v>76.693130699088158</v>
      </c>
      <c r="CA191" s="153">
        <f t="shared" si="318"/>
        <v>0.17725447659115037</v>
      </c>
      <c r="CB191" s="5">
        <f t="shared" si="319"/>
        <v>1.2150000000000003</v>
      </c>
      <c r="CC191" s="153">
        <f t="shared" si="320"/>
        <v>0.87268528880930807</v>
      </c>
      <c r="CD191" s="5">
        <f t="shared" si="321"/>
        <v>87.268528880930802</v>
      </c>
      <c r="CG191" s="59">
        <f t="shared" si="356"/>
        <v>-50</v>
      </c>
      <c r="CH191">
        <f t="shared" si="357"/>
        <v>-50</v>
      </c>
    </row>
    <row r="192" spans="5:86" x14ac:dyDescent="0.25">
      <c r="E192" s="150">
        <v>82</v>
      </c>
      <c r="F192" s="191">
        <f t="shared" si="358"/>
        <v>8.2000000000000003E-2</v>
      </c>
      <c r="G192" s="191"/>
      <c r="H192" s="191">
        <f t="shared" si="322"/>
        <v>1.23</v>
      </c>
      <c r="I192" s="472">
        <f t="shared" si="323"/>
        <v>13</v>
      </c>
      <c r="J192" s="386">
        <f t="shared" si="324"/>
        <v>15.32</v>
      </c>
      <c r="K192" s="386">
        <f t="shared" si="325"/>
        <v>28.32</v>
      </c>
      <c r="L192" s="386"/>
      <c r="M192" s="191">
        <f t="shared" si="326"/>
        <v>0.54096045197740117</v>
      </c>
      <c r="N192" s="152">
        <f t="shared" si="327"/>
        <v>2.3997235845654528</v>
      </c>
      <c r="O192" s="152">
        <f t="shared" si="262"/>
        <v>1.23</v>
      </c>
      <c r="P192" s="191">
        <f t="shared" si="328"/>
        <v>0.15998157230436352</v>
      </c>
      <c r="Q192" s="191">
        <f t="shared" si="329"/>
        <v>15</v>
      </c>
      <c r="R192" s="191"/>
      <c r="S192" s="152">
        <f t="shared" si="330"/>
        <v>40.607740114129037</v>
      </c>
      <c r="T192" s="152">
        <f t="shared" si="331"/>
        <v>15</v>
      </c>
      <c r="U192" s="191">
        <f t="shared" si="332"/>
        <v>0.3886724241815625</v>
      </c>
      <c r="V192" s="191">
        <f t="shared" si="333"/>
        <v>1.4052003028102642</v>
      </c>
      <c r="W192" s="191">
        <f t="shared" si="334"/>
        <v>1.1924023457267257</v>
      </c>
      <c r="X192" s="175">
        <f t="shared" si="335"/>
        <v>350</v>
      </c>
      <c r="Y192" s="386">
        <f t="shared" si="303"/>
        <v>350</v>
      </c>
      <c r="AA192" s="191">
        <f t="shared" si="336"/>
        <v>0.42750674016451157</v>
      </c>
      <c r="AB192" s="153">
        <f t="shared" si="337"/>
        <v>1.3115415657788541</v>
      </c>
      <c r="AC192" s="153">
        <f t="shared" si="338"/>
        <v>9.8121250390866027E-2</v>
      </c>
      <c r="AD192" s="153"/>
      <c r="AE192" s="153">
        <f t="shared" si="339"/>
        <v>0.46018276762402083</v>
      </c>
      <c r="AF192" s="317">
        <f t="shared" si="340"/>
        <v>2375.8676122931447</v>
      </c>
      <c r="AG192" s="463">
        <f t="shared" si="341"/>
        <v>1.2079797650130546E-2</v>
      </c>
      <c r="AI192" s="153">
        <f t="shared" si="342"/>
        <v>0.39081241856491622</v>
      </c>
      <c r="AJ192" s="153">
        <f t="shared" si="343"/>
        <v>0.39081241856491622</v>
      </c>
      <c r="AK192" s="153">
        <f t="shared" si="344"/>
        <v>1.3605416123766108</v>
      </c>
      <c r="AM192" s="317">
        <f t="shared" si="345"/>
        <v>82</v>
      </c>
      <c r="AN192" s="147">
        <f t="shared" si="346"/>
        <v>350</v>
      </c>
      <c r="AP192">
        <f t="shared" si="347"/>
        <v>82</v>
      </c>
      <c r="AQ192">
        <f t="shared" si="348"/>
        <v>350</v>
      </c>
      <c r="AS192" s="5">
        <f t="shared" si="263"/>
        <v>2.8571428571428572</v>
      </c>
      <c r="AT192" s="5">
        <f t="shared" si="349"/>
        <v>1.4129372055808507</v>
      </c>
      <c r="AU192" s="5">
        <f t="shared" si="304"/>
        <v>1.4442056515620065</v>
      </c>
      <c r="AV192" s="5"/>
      <c r="AW192" s="153">
        <f t="shared" si="305"/>
        <v>0.4945280219532977</v>
      </c>
      <c r="AX192" s="153">
        <f t="shared" si="259"/>
        <v>1.25624</v>
      </c>
      <c r="AY192" s="153">
        <f t="shared" si="260"/>
        <v>9.8772363128611984E-2</v>
      </c>
      <c r="AZ192" s="153">
        <f t="shared" si="264"/>
        <v>12.71853745530259</v>
      </c>
      <c r="BA192" s="147">
        <f t="shared" si="350"/>
        <v>3.4876336995076449</v>
      </c>
      <c r="BB192" s="147">
        <f t="shared" si="351"/>
        <v>12.116994047116375</v>
      </c>
      <c r="BC192" s="5">
        <f t="shared" si="359"/>
        <v>0.20243566397963167</v>
      </c>
      <c r="BD192" s="147">
        <f t="shared" si="352"/>
        <v>15.498059413856991</v>
      </c>
      <c r="BF192" s="153">
        <f t="shared" si="265"/>
        <v>0.1586730540674012</v>
      </c>
      <c r="BG192" s="153">
        <f t="shared" si="261"/>
        <v>0.16041917200813832</v>
      </c>
      <c r="BI192" s="463">
        <f t="shared" si="306"/>
        <v>8.8119983304767481E-3</v>
      </c>
      <c r="BJ192" s="463">
        <f t="shared" si="307"/>
        <v>1.9368663464077247E-2</v>
      </c>
      <c r="BK192" s="463">
        <f t="shared" si="308"/>
        <v>4.3749999999999995E-3</v>
      </c>
      <c r="BL192" s="463">
        <f t="shared" si="309"/>
        <v>1.4035392000000001E-2</v>
      </c>
      <c r="BM192">
        <f t="shared" si="310"/>
        <v>3.7699999999999999E-3</v>
      </c>
      <c r="BN192">
        <f t="shared" si="353"/>
        <v>6.9999999999999999E-6</v>
      </c>
      <c r="BO192" s="463">
        <f t="shared" si="354"/>
        <v>5.1641633243571614E-2</v>
      </c>
      <c r="BP192" s="147">
        <f t="shared" si="311"/>
        <v>50.361053794553996</v>
      </c>
      <c r="BQ192" s="463">
        <f t="shared" si="355"/>
        <v>5.0985013411301384E-2</v>
      </c>
      <c r="BT192" s="147">
        <f t="shared" si="312"/>
        <v>50.985013411301388</v>
      </c>
      <c r="BU192" s="463">
        <f t="shared" si="313"/>
        <v>2.5177138087076424E-2</v>
      </c>
      <c r="BV192" s="463">
        <f t="shared" si="314"/>
        <v>2.573431074777667E-2</v>
      </c>
      <c r="BW192" s="463">
        <f t="shared" si="315"/>
        <v>0</v>
      </c>
      <c r="BX192" s="463"/>
      <c r="BY192" s="463">
        <f t="shared" si="316"/>
        <v>2.6728510638297877E-2</v>
      </c>
      <c r="BZ192" s="147">
        <f t="shared" si="317"/>
        <v>77.639959473150967</v>
      </c>
      <c r="CA192" s="153">
        <f t="shared" si="318"/>
        <v>0.17898602667900634</v>
      </c>
      <c r="CB192" s="5">
        <f t="shared" si="319"/>
        <v>1.23</v>
      </c>
      <c r="CC192" s="153">
        <f t="shared" si="320"/>
        <v>0.87296820316885737</v>
      </c>
      <c r="CD192" s="5">
        <f t="shared" si="321"/>
        <v>87.296820316885743</v>
      </c>
      <c r="CG192" s="59">
        <f t="shared" si="356"/>
        <v>-50</v>
      </c>
      <c r="CH192">
        <f t="shared" si="357"/>
        <v>-50</v>
      </c>
    </row>
    <row r="193" spans="5:86" x14ac:dyDescent="0.25">
      <c r="E193" s="150">
        <v>83</v>
      </c>
      <c r="F193" s="191">
        <f t="shared" si="358"/>
        <v>8.3000000000000004E-2</v>
      </c>
      <c r="G193" s="191"/>
      <c r="H193" s="191">
        <f t="shared" si="322"/>
        <v>1.2450000000000001</v>
      </c>
      <c r="I193" s="472">
        <f t="shared" si="323"/>
        <v>13</v>
      </c>
      <c r="J193" s="386">
        <f t="shared" si="324"/>
        <v>15.32</v>
      </c>
      <c r="K193" s="386">
        <f t="shared" si="325"/>
        <v>28.32</v>
      </c>
      <c r="L193" s="386"/>
      <c r="M193" s="191">
        <f t="shared" si="326"/>
        <v>0.54096045197740117</v>
      </c>
      <c r="N193" s="152">
        <f t="shared" si="327"/>
        <v>2.3997235845654528</v>
      </c>
      <c r="O193" s="152">
        <f t="shared" si="262"/>
        <v>1.2450000000000001</v>
      </c>
      <c r="P193" s="191">
        <f t="shared" si="328"/>
        <v>0.15998157230436352</v>
      </c>
      <c r="Q193" s="191">
        <f t="shared" si="329"/>
        <v>15</v>
      </c>
      <c r="R193" s="191"/>
      <c r="S193" s="152">
        <f t="shared" si="330"/>
        <v>39.964710766815294</v>
      </c>
      <c r="T193" s="152">
        <f t="shared" si="331"/>
        <v>15</v>
      </c>
      <c r="U193" s="191">
        <f t="shared" si="332"/>
        <v>0.3934123317935328</v>
      </c>
      <c r="V193" s="191">
        <f t="shared" si="333"/>
        <v>1.4223368918689263</v>
      </c>
      <c r="W193" s="191">
        <f t="shared" si="334"/>
        <v>1.2069438377477832</v>
      </c>
      <c r="X193" s="175">
        <f t="shared" si="335"/>
        <v>350</v>
      </c>
      <c r="Y193" s="386">
        <f t="shared" si="303"/>
        <v>350</v>
      </c>
      <c r="AA193" s="191">
        <f t="shared" si="336"/>
        <v>0.42750674016451157</v>
      </c>
      <c r="AB193" s="153">
        <f t="shared" si="337"/>
        <v>1.3115415657788541</v>
      </c>
      <c r="AC193" s="153">
        <f t="shared" si="338"/>
        <v>9.8121250390866027E-2</v>
      </c>
      <c r="AD193" s="153"/>
      <c r="AE193" s="153">
        <f t="shared" si="339"/>
        <v>0.46018276762402083</v>
      </c>
      <c r="AF193" s="317">
        <f t="shared" si="340"/>
        <v>2404.8416075650125</v>
      </c>
      <c r="AG193" s="463">
        <f t="shared" si="341"/>
        <v>1.2079797650130546E-2</v>
      </c>
      <c r="AI193" s="153">
        <f t="shared" si="342"/>
        <v>0.39318819983097431</v>
      </c>
      <c r="AJ193" s="153">
        <f t="shared" si="343"/>
        <v>0.39318819983097431</v>
      </c>
      <c r="AK193" s="153">
        <f t="shared" si="344"/>
        <v>1.3621254665539828</v>
      </c>
      <c r="AM193" s="317">
        <f t="shared" si="345"/>
        <v>83</v>
      </c>
      <c r="AN193" s="147">
        <f t="shared" si="346"/>
        <v>350</v>
      </c>
      <c r="AP193">
        <f t="shared" si="347"/>
        <v>83</v>
      </c>
      <c r="AQ193">
        <f t="shared" si="348"/>
        <v>350</v>
      </c>
      <c r="AS193" s="5">
        <f t="shared" si="263"/>
        <v>2.8571428571428572</v>
      </c>
      <c r="AT193" s="5">
        <f t="shared" si="349"/>
        <v>1.4215265686196763</v>
      </c>
      <c r="AU193" s="5">
        <f t="shared" si="304"/>
        <v>1.4356162885231809</v>
      </c>
      <c r="AV193" s="5"/>
      <c r="AW193" s="153">
        <f t="shared" si="305"/>
        <v>0.49753429901688667</v>
      </c>
      <c r="AX193" s="153">
        <f t="shared" si="259"/>
        <v>1.27156</v>
      </c>
      <c r="AY193" s="153">
        <f t="shared" si="260"/>
        <v>9.8781792223179468E-2</v>
      </c>
      <c r="AZ193" s="153">
        <f t="shared" si="264"/>
        <v>12.872412732977569</v>
      </c>
      <c r="BA193" s="147">
        <f t="shared" si="350"/>
        <v>3.4876336995076449</v>
      </c>
      <c r="BB193" s="147">
        <f t="shared" si="351"/>
        <v>12.411295953388564</v>
      </c>
      <c r="BC193" s="5">
        <f t="shared" si="359"/>
        <v>0.20368572982465646</v>
      </c>
      <c r="BD193" s="147">
        <f t="shared" si="352"/>
        <v>15.595660506080002</v>
      </c>
      <c r="BF193" s="153">
        <f t="shared" si="265"/>
        <v>0.16012213085194651</v>
      </c>
      <c r="BG193" s="153">
        <f t="shared" si="261"/>
        <v>0.16091371406297075</v>
      </c>
      <c r="BI193" s="463">
        <f t="shared" si="306"/>
        <v>8.9736838759987576E-3</v>
      </c>
      <c r="BJ193" s="463">
        <f t="shared" si="307"/>
        <v>1.9486407183623086E-2</v>
      </c>
      <c r="BK193" s="463">
        <f t="shared" si="308"/>
        <v>4.3749999999999995E-3</v>
      </c>
      <c r="BL193" s="463">
        <f t="shared" si="309"/>
        <v>1.4035392000000001E-2</v>
      </c>
      <c r="BM193">
        <f t="shared" si="310"/>
        <v>3.7699999999999999E-3</v>
      </c>
      <c r="BN193">
        <f t="shared" si="353"/>
        <v>6.9999999999999999E-6</v>
      </c>
      <c r="BO193" s="463">
        <f t="shared" si="354"/>
        <v>5.1944932734162549E-2</v>
      </c>
      <c r="BP193" s="147">
        <f t="shared" si="311"/>
        <v>50.640483059621843</v>
      </c>
      <c r="BQ193" s="463">
        <f t="shared" si="355"/>
        <v>5.1488422657384188E-2</v>
      </c>
      <c r="BT193" s="147">
        <f t="shared" si="312"/>
        <v>51.488422657384184</v>
      </c>
      <c r="BU193" s="463">
        <f t="shared" si="313"/>
        <v>2.5639096788567881E-2</v>
      </c>
      <c r="BV193" s="463">
        <f t="shared" si="314"/>
        <v>2.5893223373539512E-2</v>
      </c>
      <c r="BW193" s="463">
        <f t="shared" si="315"/>
        <v>0</v>
      </c>
      <c r="BX193" s="463"/>
      <c r="BY193" s="463">
        <f t="shared" si="316"/>
        <v>2.7054468085106382E-2</v>
      </c>
      <c r="BZ193" s="147">
        <f t="shared" si="317"/>
        <v>78.586788247213775</v>
      </c>
      <c r="CA193" s="153">
        <f t="shared" si="318"/>
        <v>0.1807156939642198</v>
      </c>
      <c r="CB193" s="5">
        <f t="shared" si="319"/>
        <v>1.2450000000000001</v>
      </c>
      <c r="CC193" s="153">
        <f t="shared" si="320"/>
        <v>0.87324563043720338</v>
      </c>
      <c r="CD193" s="5">
        <f t="shared" si="321"/>
        <v>87.324563043720332</v>
      </c>
      <c r="CG193" s="59">
        <f t="shared" si="356"/>
        <v>-50</v>
      </c>
      <c r="CH193">
        <f t="shared" si="357"/>
        <v>-50</v>
      </c>
    </row>
    <row r="194" spans="5:86" x14ac:dyDescent="0.25">
      <c r="E194" s="150">
        <v>84</v>
      </c>
      <c r="F194" s="191">
        <f t="shared" si="358"/>
        <v>8.4000000000000005E-2</v>
      </c>
      <c r="G194" s="191"/>
      <c r="H194" s="191">
        <f t="shared" si="322"/>
        <v>1.26</v>
      </c>
      <c r="I194" s="472">
        <f t="shared" si="323"/>
        <v>13</v>
      </c>
      <c r="J194" s="386">
        <f t="shared" si="324"/>
        <v>15.32</v>
      </c>
      <c r="K194" s="386">
        <f t="shared" si="325"/>
        <v>28.32</v>
      </c>
      <c r="L194" s="386"/>
      <c r="M194" s="191">
        <f t="shared" si="326"/>
        <v>0.54096045197740117</v>
      </c>
      <c r="N194" s="152">
        <f t="shared" si="327"/>
        <v>2.3997235845654528</v>
      </c>
      <c r="O194" s="152">
        <f t="shared" si="262"/>
        <v>1.26</v>
      </c>
      <c r="P194" s="191">
        <f t="shared" si="328"/>
        <v>0.15998157230436352</v>
      </c>
      <c r="Q194" s="191">
        <f t="shared" si="329"/>
        <v>15</v>
      </c>
      <c r="R194" s="191"/>
      <c r="S194" s="152">
        <f t="shared" si="330"/>
        <v>39.337042258688335</v>
      </c>
      <c r="T194" s="152">
        <f t="shared" si="331"/>
        <v>15</v>
      </c>
      <c r="U194" s="191">
        <f t="shared" si="332"/>
        <v>0.39815223940550304</v>
      </c>
      <c r="V194" s="191">
        <f t="shared" si="333"/>
        <v>1.4394734809275878</v>
      </c>
      <c r="W194" s="191">
        <f t="shared" si="334"/>
        <v>1.2214853297688406</v>
      </c>
      <c r="X194" s="175">
        <f t="shared" si="335"/>
        <v>350</v>
      </c>
      <c r="Y194" s="386">
        <f t="shared" si="303"/>
        <v>350</v>
      </c>
      <c r="AA194" s="191">
        <f t="shared" si="336"/>
        <v>0.42750674016451157</v>
      </c>
      <c r="AB194" s="153">
        <f t="shared" si="337"/>
        <v>1.3115415657788541</v>
      </c>
      <c r="AC194" s="153">
        <f t="shared" si="338"/>
        <v>9.8121250390866027E-2</v>
      </c>
      <c r="AD194" s="153"/>
      <c r="AE194" s="153">
        <f t="shared" si="339"/>
        <v>0.46018276762402083</v>
      </c>
      <c r="AF194" s="317">
        <f t="shared" si="340"/>
        <v>2433.8156028368803</v>
      </c>
      <c r="AG194" s="463">
        <f t="shared" si="341"/>
        <v>1.2079797650130546E-2</v>
      </c>
      <c r="AI194" s="153">
        <f t="shared" si="342"/>
        <v>0.39554971175325754</v>
      </c>
      <c r="AJ194" s="153">
        <f t="shared" si="343"/>
        <v>0.39554971175325754</v>
      </c>
      <c r="AK194" s="153">
        <f t="shared" si="344"/>
        <v>1.3636998078355049</v>
      </c>
      <c r="AM194" s="317">
        <f t="shared" si="345"/>
        <v>84</v>
      </c>
      <c r="AN194" s="147">
        <f t="shared" si="346"/>
        <v>350</v>
      </c>
      <c r="AP194">
        <f t="shared" si="347"/>
        <v>84</v>
      </c>
      <c r="AQ194">
        <f t="shared" si="348"/>
        <v>350</v>
      </c>
      <c r="AS194" s="5">
        <f t="shared" si="263"/>
        <v>2.8571428571428572</v>
      </c>
      <c r="AT194" s="5">
        <f t="shared" si="349"/>
        <v>1.4300643424925463</v>
      </c>
      <c r="AU194" s="5">
        <f t="shared" si="304"/>
        <v>1.4270785146503109</v>
      </c>
      <c r="AV194" s="5"/>
      <c r="AW194" s="153">
        <f t="shared" si="305"/>
        <v>0.50052251987239116</v>
      </c>
      <c r="AX194" s="153">
        <f t="shared" si="259"/>
        <v>1.28688</v>
      </c>
      <c r="AY194" s="153">
        <f t="shared" si="260"/>
        <v>9.8784086645859553E-2</v>
      </c>
      <c r="AZ194" s="153">
        <f t="shared" si="264"/>
        <v>13.027199457878861</v>
      </c>
      <c r="BA194" s="147">
        <f t="shared" si="350"/>
        <v>3.4876336995076449</v>
      </c>
      <c r="BB194" s="147">
        <f t="shared" si="351"/>
        <v>12.709128791857992</v>
      </c>
      <c r="BC194" s="5">
        <f t="shared" si="359"/>
        <v>0.20491383800107024</v>
      </c>
      <c r="BD194" s="147">
        <f t="shared" si="352"/>
        <v>15.691614773157191</v>
      </c>
      <c r="BF194" s="153">
        <f t="shared" si="265"/>
        <v>0.16156684939566862</v>
      </c>
      <c r="BG194" s="153">
        <f t="shared" si="261"/>
        <v>0.16139809374871514</v>
      </c>
      <c r="BI194" s="463">
        <f t="shared" si="306"/>
        <v>9.1363463882749314E-3</v>
      </c>
      <c r="BJ194" s="463">
        <f t="shared" si="307"/>
        <v>1.9603443714491443E-2</v>
      </c>
      <c r="BK194" s="463">
        <f t="shared" si="308"/>
        <v>4.3749999999999995E-3</v>
      </c>
      <c r="BL194" s="463">
        <f t="shared" si="309"/>
        <v>1.4035392000000001E-2</v>
      </c>
      <c r="BM194">
        <f t="shared" si="310"/>
        <v>3.7699999999999999E-3</v>
      </c>
      <c r="BN194">
        <f t="shared" si="353"/>
        <v>6.9999999999999999E-6</v>
      </c>
      <c r="BO194" s="463">
        <f t="shared" si="354"/>
        <v>5.224866213122336E-2</v>
      </c>
      <c r="BP194" s="147">
        <f t="shared" si="311"/>
        <v>50.920182102766375</v>
      </c>
      <c r="BQ194" s="463">
        <f t="shared" si="355"/>
        <v>5.1989699324609347E-2</v>
      </c>
      <c r="BT194" s="147">
        <f t="shared" si="312"/>
        <v>51.989699324609347</v>
      </c>
      <c r="BU194" s="463">
        <f t="shared" si="313"/>
        <v>2.6103846823642664E-2</v>
      </c>
      <c r="BV194" s="463">
        <f t="shared" si="314"/>
        <v>2.6049344665719041E-2</v>
      </c>
      <c r="BW194" s="463">
        <f t="shared" si="315"/>
        <v>0</v>
      </c>
      <c r="BX194" s="463"/>
      <c r="BY194" s="463">
        <f t="shared" si="316"/>
        <v>2.7380425531914904E-2</v>
      </c>
      <c r="BZ194" s="147">
        <f t="shared" si="317"/>
        <v>79.533617021276612</v>
      </c>
      <c r="CA194" s="153">
        <f t="shared" si="318"/>
        <v>0.18244349844865235</v>
      </c>
      <c r="CB194" s="5">
        <f t="shared" si="319"/>
        <v>1.26</v>
      </c>
      <c r="CC194" s="153">
        <f t="shared" si="320"/>
        <v>0.87351775050816882</v>
      </c>
      <c r="CD194" s="5">
        <f t="shared" si="321"/>
        <v>87.351775050816883</v>
      </c>
      <c r="CG194" s="59">
        <f t="shared" si="356"/>
        <v>-50</v>
      </c>
      <c r="CH194">
        <f t="shared" si="357"/>
        <v>-50</v>
      </c>
    </row>
    <row r="195" spans="5:86" x14ac:dyDescent="0.25">
      <c r="E195" s="150">
        <v>85</v>
      </c>
      <c r="F195" s="191">
        <f t="shared" si="358"/>
        <v>8.5000000000000006E-2</v>
      </c>
      <c r="G195" s="191"/>
      <c r="H195" s="191">
        <f t="shared" si="322"/>
        <v>1.2750000000000001</v>
      </c>
      <c r="I195" s="472">
        <f t="shared" si="323"/>
        <v>13</v>
      </c>
      <c r="J195" s="386">
        <f t="shared" si="324"/>
        <v>15.32</v>
      </c>
      <c r="K195" s="386">
        <f t="shared" si="325"/>
        <v>28.32</v>
      </c>
      <c r="L195" s="386"/>
      <c r="M195" s="191">
        <f t="shared" si="326"/>
        <v>0.54096045197740117</v>
      </c>
      <c r="N195" s="152">
        <f t="shared" si="327"/>
        <v>2.3997235845654528</v>
      </c>
      <c r="O195" s="152">
        <f t="shared" si="262"/>
        <v>1.2750000000000001</v>
      </c>
      <c r="P195" s="191">
        <f t="shared" si="328"/>
        <v>0.15998157230436352</v>
      </c>
      <c r="Q195" s="191">
        <f t="shared" si="329"/>
        <v>15</v>
      </c>
      <c r="R195" s="191"/>
      <c r="S195" s="152">
        <f t="shared" si="330"/>
        <v>38.724192992575858</v>
      </c>
      <c r="T195" s="152">
        <f t="shared" si="331"/>
        <v>15</v>
      </c>
      <c r="U195" s="191">
        <f t="shared" si="332"/>
        <v>0.40289214701747333</v>
      </c>
      <c r="V195" s="191">
        <f t="shared" si="333"/>
        <v>1.4566100699862496</v>
      </c>
      <c r="W195" s="191">
        <f t="shared" si="334"/>
        <v>1.2360268217898986</v>
      </c>
      <c r="X195" s="175">
        <f t="shared" si="335"/>
        <v>350</v>
      </c>
      <c r="Y195" s="386">
        <f t="shared" si="303"/>
        <v>350</v>
      </c>
      <c r="AA195" s="191">
        <f t="shared" si="336"/>
        <v>0.42750674016451157</v>
      </c>
      <c r="AB195" s="153">
        <f t="shared" si="337"/>
        <v>1.3115415657788541</v>
      </c>
      <c r="AC195" s="153">
        <f t="shared" si="338"/>
        <v>9.8121250390866027E-2</v>
      </c>
      <c r="AD195" s="153"/>
      <c r="AE195" s="153">
        <f t="shared" si="339"/>
        <v>0.46018276762402083</v>
      </c>
      <c r="AF195" s="317">
        <f t="shared" si="340"/>
        <v>2462.7895981087481</v>
      </c>
      <c r="AG195" s="463">
        <f t="shared" si="341"/>
        <v>1.2079797650130546E-2</v>
      </c>
      <c r="AI195" s="153">
        <f t="shared" si="342"/>
        <v>0.39789720839665116</v>
      </c>
      <c r="AJ195" s="153">
        <f t="shared" si="343"/>
        <v>0.39789720839665116</v>
      </c>
      <c r="AK195" s="153">
        <f t="shared" si="344"/>
        <v>1.3652648055977674</v>
      </c>
      <c r="AM195" s="317">
        <f t="shared" si="345"/>
        <v>85</v>
      </c>
      <c r="AN195" s="147">
        <f t="shared" si="346"/>
        <v>350</v>
      </c>
      <c r="AP195">
        <f t="shared" si="347"/>
        <v>85</v>
      </c>
      <c r="AQ195">
        <f t="shared" si="348"/>
        <v>350</v>
      </c>
      <c r="AS195" s="5">
        <f t="shared" si="263"/>
        <v>2.8571428571428572</v>
      </c>
      <c r="AT195" s="5">
        <f t="shared" si="349"/>
        <v>1.4385514457417388</v>
      </c>
      <c r="AU195" s="5">
        <f t="shared" si="304"/>
        <v>1.4185914114011184</v>
      </c>
      <c r="AV195" s="5"/>
      <c r="AW195" s="153">
        <f t="shared" si="305"/>
        <v>0.50349300600960856</v>
      </c>
      <c r="AX195" s="153">
        <f t="shared" si="259"/>
        <v>1.3022</v>
      </c>
      <c r="AY195" s="153">
        <f t="shared" si="260"/>
        <v>9.8779373429094805E-2</v>
      </c>
      <c r="AZ195" s="153">
        <f t="shared" si="264"/>
        <v>13.182914152970783</v>
      </c>
      <c r="BA195" s="147">
        <f t="shared" si="350"/>
        <v>3.4876336995076449</v>
      </c>
      <c r="BB195" s="147">
        <f t="shared" si="351"/>
        <v>13.010492562524663</v>
      </c>
      <c r="BC195" s="5">
        <f t="shared" si="359"/>
        <v>0.20612011960529072</v>
      </c>
      <c r="BD195" s="147">
        <f t="shared" si="352"/>
        <v>15.785932047319884</v>
      </c>
      <c r="BF195" s="153">
        <f t="shared" si="265"/>
        <v>0.16300727446000043</v>
      </c>
      <c r="BG195" s="153">
        <f t="shared" si="261"/>
        <v>0.16187245377067128</v>
      </c>
      <c r="BI195" s="463">
        <f t="shared" si="306"/>
        <v>9.2999800344072681E-3</v>
      </c>
      <c r="BJ195" s="463">
        <f t="shared" si="307"/>
        <v>1.9719785648138033E-2</v>
      </c>
      <c r="BK195" s="463">
        <f t="shared" si="308"/>
        <v>4.3749999999999995E-3</v>
      </c>
      <c r="BL195" s="463">
        <f t="shared" si="309"/>
        <v>1.4035392000000001E-2</v>
      </c>
      <c r="BM195">
        <f t="shared" si="310"/>
        <v>3.7699999999999999E-3</v>
      </c>
      <c r="BN195">
        <f t="shared" si="353"/>
        <v>6.9999999999999999E-6</v>
      </c>
      <c r="BO195" s="463">
        <f t="shared" si="354"/>
        <v>5.2552827562777557E-2</v>
      </c>
      <c r="BP195" s="147">
        <f t="shared" si="311"/>
        <v>51.200157682545303</v>
      </c>
      <c r="BQ195" s="463">
        <f t="shared" si="355"/>
        <v>5.2488856145359919E-2</v>
      </c>
      <c r="BT195" s="147">
        <f t="shared" si="312"/>
        <v>52.488856145359918</v>
      </c>
      <c r="BU195" s="463">
        <f t="shared" si="313"/>
        <v>2.6571371526877909E-2</v>
      </c>
      <c r="BV195" s="463">
        <f t="shared" si="314"/>
        <v>2.6202691289738109E-2</v>
      </c>
      <c r="BW195" s="463">
        <f t="shared" si="315"/>
        <v>0</v>
      </c>
      <c r="BX195" s="463"/>
      <c r="BY195" s="463">
        <f t="shared" si="316"/>
        <v>2.7706382978723413E-2</v>
      </c>
      <c r="BZ195" s="147">
        <f t="shared" si="317"/>
        <v>80.480445795339435</v>
      </c>
      <c r="CA195" s="153">
        <f t="shared" si="318"/>
        <v>0.18416945962324466</v>
      </c>
      <c r="CB195" s="5">
        <f t="shared" si="319"/>
        <v>1.2750000000000001</v>
      </c>
      <c r="CC195" s="153">
        <f t="shared" si="320"/>
        <v>0.87378473527619138</v>
      </c>
      <c r="CD195" s="5">
        <f t="shared" si="321"/>
        <v>87.378473527619136</v>
      </c>
      <c r="CG195" s="59">
        <f t="shared" si="356"/>
        <v>-50</v>
      </c>
      <c r="CH195">
        <f t="shared" si="357"/>
        <v>-50</v>
      </c>
    </row>
    <row r="196" spans="5:86" x14ac:dyDescent="0.25">
      <c r="E196" s="150">
        <v>86</v>
      </c>
      <c r="F196" s="191">
        <f t="shared" si="358"/>
        <v>8.6000000000000007E-2</v>
      </c>
      <c r="G196" s="191"/>
      <c r="H196" s="191">
        <f t="shared" si="322"/>
        <v>1.29</v>
      </c>
      <c r="I196" s="472">
        <f t="shared" si="323"/>
        <v>13</v>
      </c>
      <c r="J196" s="386">
        <f t="shared" si="324"/>
        <v>15.32</v>
      </c>
      <c r="K196" s="386">
        <f t="shared" si="325"/>
        <v>28.32</v>
      </c>
      <c r="L196" s="386"/>
      <c r="M196" s="191">
        <f t="shared" si="326"/>
        <v>0.54096045197740117</v>
      </c>
      <c r="N196" s="152">
        <f t="shared" si="327"/>
        <v>2.3997235845654528</v>
      </c>
      <c r="O196" s="152">
        <f t="shared" si="262"/>
        <v>1.29</v>
      </c>
      <c r="P196" s="191">
        <f t="shared" si="328"/>
        <v>0.15998157230436352</v>
      </c>
      <c r="Q196" s="191">
        <f t="shared" si="329"/>
        <v>15</v>
      </c>
      <c r="R196" s="191"/>
      <c r="S196" s="152">
        <f t="shared" si="330"/>
        <v>38.125646569481567</v>
      </c>
      <c r="T196" s="152">
        <f t="shared" si="331"/>
        <v>15</v>
      </c>
      <c r="U196" s="191">
        <f t="shared" si="332"/>
        <v>0.40763205462944357</v>
      </c>
      <c r="V196" s="191">
        <f t="shared" si="333"/>
        <v>1.4737466590449111</v>
      </c>
      <c r="W196" s="191">
        <f t="shared" si="334"/>
        <v>1.250568313810956</v>
      </c>
      <c r="X196" s="175">
        <f t="shared" si="335"/>
        <v>350</v>
      </c>
      <c r="Y196" s="386">
        <f t="shared" si="303"/>
        <v>350</v>
      </c>
      <c r="AA196" s="191">
        <f t="shared" si="336"/>
        <v>0.42750674016451157</v>
      </c>
      <c r="AB196" s="153">
        <f t="shared" si="337"/>
        <v>1.3115415657788541</v>
      </c>
      <c r="AC196" s="153">
        <f t="shared" si="338"/>
        <v>9.8121250390866027E-2</v>
      </c>
      <c r="AD196" s="153"/>
      <c r="AE196" s="153">
        <f t="shared" si="339"/>
        <v>0.46018276762402083</v>
      </c>
      <c r="AF196" s="317">
        <f t="shared" si="340"/>
        <v>2491.7635933806155</v>
      </c>
      <c r="AG196" s="463">
        <f t="shared" si="341"/>
        <v>1.2079797650130546E-2</v>
      </c>
      <c r="AI196" s="153">
        <f t="shared" si="342"/>
        <v>0.40023093637500207</v>
      </c>
      <c r="AJ196" s="153">
        <f t="shared" si="343"/>
        <v>0.40023093637500207</v>
      </c>
      <c r="AK196" s="153">
        <f t="shared" si="344"/>
        <v>1.3668206242500014</v>
      </c>
      <c r="AM196" s="317">
        <f t="shared" si="345"/>
        <v>86</v>
      </c>
      <c r="AN196" s="147">
        <f t="shared" si="346"/>
        <v>350</v>
      </c>
      <c r="AP196">
        <f t="shared" si="347"/>
        <v>86</v>
      </c>
      <c r="AQ196">
        <f t="shared" si="348"/>
        <v>350</v>
      </c>
      <c r="AS196" s="5">
        <f t="shared" si="263"/>
        <v>2.8571428571428572</v>
      </c>
      <c r="AT196" s="5">
        <f t="shared" si="349"/>
        <v>1.4469887699711612</v>
      </c>
      <c r="AU196" s="5">
        <f t="shared" si="304"/>
        <v>1.410154087171696</v>
      </c>
      <c r="AV196" s="5"/>
      <c r="AW196" s="153">
        <f t="shared" si="305"/>
        <v>0.50644606948990645</v>
      </c>
      <c r="AX196" s="153">
        <f t="shared" si="259"/>
        <v>1.31752</v>
      </c>
      <c r="AY196" s="153">
        <f t="shared" si="260"/>
        <v>9.8767775879808728E-2</v>
      </c>
      <c r="AZ196" s="153">
        <f t="shared" si="264"/>
        <v>13.339573441476503</v>
      </c>
      <c r="BA196" s="147">
        <f t="shared" si="350"/>
        <v>3.4876336995076449</v>
      </c>
      <c r="BB196" s="147">
        <f t="shared" si="351"/>
        <v>13.315387265388566</v>
      </c>
      <c r="BC196" s="5">
        <f t="shared" si="359"/>
        <v>0.20730470341327498</v>
      </c>
      <c r="BD196" s="147">
        <f t="shared" si="352"/>
        <v>15.878621986764854</v>
      </c>
      <c r="BF196" s="153">
        <f t="shared" si="265"/>
        <v>0.1644434690945053</v>
      </c>
      <c r="BG196" s="153">
        <f t="shared" si="261"/>
        <v>0.16233693238457722</v>
      </c>
      <c r="BI196" s="463">
        <f t="shared" si="306"/>
        <v>9.4645790847424308E-3</v>
      </c>
      <c r="BJ196" s="463">
        <f t="shared" si="307"/>
        <v>1.9835445206745104E-2</v>
      </c>
      <c r="BK196" s="463">
        <f t="shared" si="308"/>
        <v>4.3749999999999995E-3</v>
      </c>
      <c r="BL196" s="463">
        <f t="shared" si="309"/>
        <v>1.4035392000000001E-2</v>
      </c>
      <c r="BM196">
        <f t="shared" si="310"/>
        <v>3.7699999999999999E-3</v>
      </c>
      <c r="BN196">
        <f t="shared" si="353"/>
        <v>6.9999999999999999E-6</v>
      </c>
      <c r="BO196" s="463">
        <f t="shared" si="354"/>
        <v>5.2857434905223592E-2</v>
      </c>
      <c r="BP196" s="147">
        <f t="shared" si="311"/>
        <v>51.480416291487536</v>
      </c>
      <c r="BQ196" s="463">
        <f t="shared" si="355"/>
        <v>5.2985905626650592E-2</v>
      </c>
      <c r="BT196" s="147">
        <f t="shared" si="312"/>
        <v>52.985905626650592</v>
      </c>
      <c r="BU196" s="463">
        <f t="shared" si="313"/>
        <v>2.704165452783552E-2</v>
      </c>
      <c r="BV196" s="463">
        <f t="shared" si="314"/>
        <v>2.6353279616034796E-2</v>
      </c>
      <c r="BW196" s="463">
        <f t="shared" si="315"/>
        <v>0</v>
      </c>
      <c r="BX196" s="463"/>
      <c r="BY196" s="463">
        <f t="shared" si="316"/>
        <v>2.8032340425531922E-2</v>
      </c>
      <c r="BZ196" s="147">
        <f t="shared" si="317"/>
        <v>81.427274569402243</v>
      </c>
      <c r="CA196" s="153">
        <f t="shared" si="318"/>
        <v>0.18589359648754036</v>
      </c>
      <c r="CB196" s="5">
        <f t="shared" si="319"/>
        <v>1.29</v>
      </c>
      <c r="CC196" s="153">
        <f t="shared" si="320"/>
        <v>0.87404674908140667</v>
      </c>
      <c r="CD196" s="5">
        <f t="shared" si="321"/>
        <v>87.404674908140663</v>
      </c>
      <c r="CG196" s="59">
        <f t="shared" si="356"/>
        <v>-50</v>
      </c>
      <c r="CH196">
        <f t="shared" si="357"/>
        <v>-50</v>
      </c>
    </row>
    <row r="197" spans="5:86" x14ac:dyDescent="0.25">
      <c r="E197" s="150">
        <v>87</v>
      </c>
      <c r="F197" s="191">
        <f t="shared" si="358"/>
        <v>8.7000000000000008E-2</v>
      </c>
      <c r="G197" s="191"/>
      <c r="H197" s="191">
        <f t="shared" si="322"/>
        <v>1.3050000000000002</v>
      </c>
      <c r="I197" s="472">
        <f t="shared" si="323"/>
        <v>13</v>
      </c>
      <c r="J197" s="386">
        <f t="shared" si="324"/>
        <v>15.32</v>
      </c>
      <c r="K197" s="386">
        <f t="shared" si="325"/>
        <v>28.32</v>
      </c>
      <c r="L197" s="386"/>
      <c r="M197" s="191">
        <f t="shared" si="326"/>
        <v>0.54096045197740117</v>
      </c>
      <c r="N197" s="152">
        <f t="shared" si="327"/>
        <v>2.3997235845654528</v>
      </c>
      <c r="O197" s="152">
        <f t="shared" si="262"/>
        <v>1.3050000000000002</v>
      </c>
      <c r="P197" s="191">
        <f t="shared" si="328"/>
        <v>0.15998157230436352</v>
      </c>
      <c r="Q197" s="191">
        <f t="shared" si="329"/>
        <v>15</v>
      </c>
      <c r="R197" s="191"/>
      <c r="S197" s="152">
        <f t="shared" si="330"/>
        <v>37.540910340538659</v>
      </c>
      <c r="T197" s="152">
        <f t="shared" si="331"/>
        <v>15</v>
      </c>
      <c r="U197" s="191">
        <f t="shared" si="332"/>
        <v>0.41237196224141393</v>
      </c>
      <c r="V197" s="191">
        <f t="shared" si="333"/>
        <v>1.4908832481035732</v>
      </c>
      <c r="W197" s="191">
        <f t="shared" si="334"/>
        <v>1.2651098058320138</v>
      </c>
      <c r="X197" s="175">
        <f t="shared" si="335"/>
        <v>350</v>
      </c>
      <c r="Y197" s="386">
        <f t="shared" si="303"/>
        <v>350</v>
      </c>
      <c r="AA197" s="191">
        <f t="shared" si="336"/>
        <v>0.42750674016451157</v>
      </c>
      <c r="AB197" s="153">
        <f t="shared" si="337"/>
        <v>1.3115415657788541</v>
      </c>
      <c r="AC197" s="153">
        <f t="shared" si="338"/>
        <v>9.8121250390866027E-2</v>
      </c>
      <c r="AD197" s="153"/>
      <c r="AE197" s="153">
        <f t="shared" si="339"/>
        <v>0.46018276762402083</v>
      </c>
      <c r="AF197" s="317">
        <f t="shared" si="340"/>
        <v>2520.7375886524833</v>
      </c>
      <c r="AG197" s="463">
        <f t="shared" si="341"/>
        <v>1.2079797650130546E-2</v>
      </c>
      <c r="AI197" s="153">
        <f t="shared" si="342"/>
        <v>0.40255113515350305</v>
      </c>
      <c r="AJ197" s="153">
        <f t="shared" si="343"/>
        <v>0.40255113515350305</v>
      </c>
      <c r="AK197" s="153">
        <f t="shared" si="344"/>
        <v>1.3683674234356686</v>
      </c>
      <c r="AM197" s="317">
        <f t="shared" si="345"/>
        <v>87.000000000000014</v>
      </c>
      <c r="AN197" s="147">
        <f t="shared" si="346"/>
        <v>350</v>
      </c>
      <c r="AP197">
        <f t="shared" si="347"/>
        <v>87.000000000000014</v>
      </c>
      <c r="AQ197">
        <f t="shared" si="348"/>
        <v>350</v>
      </c>
      <c r="AS197" s="5">
        <f t="shared" si="263"/>
        <v>2.8571428571428572</v>
      </c>
      <c r="AT197" s="5">
        <f t="shared" si="349"/>
        <v>1.4553771809395879</v>
      </c>
      <c r="AU197" s="5">
        <f t="shared" si="304"/>
        <v>1.4017656762032693</v>
      </c>
      <c r="AV197" s="5"/>
      <c r="AW197" s="153">
        <f t="shared" si="305"/>
        <v>0.5093820133288558</v>
      </c>
      <c r="AX197" s="153">
        <f t="shared" ref="AX197:AX210" si="360">0.5*L*AJ197^2*AN197*1000</f>
        <v>1.33284</v>
      </c>
      <c r="AY197" s="153">
        <f t="shared" ref="AY197:AY210" si="361">AJ197*Nps/2*(1-AW197)</f>
        <v>9.874941373059766E-2</v>
      </c>
      <c r="AZ197" s="153">
        <f t="shared" si="264"/>
        <v>13.497194055614099</v>
      </c>
      <c r="BA197" s="147">
        <f t="shared" si="350"/>
        <v>3.4876336995076449</v>
      </c>
      <c r="BB197" s="147">
        <f t="shared" si="351"/>
        <v>13.623812900449709</v>
      </c>
      <c r="BC197" s="5">
        <f t="shared" si="359"/>
        <v>0.20846771594817856</v>
      </c>
      <c r="BD197" s="147">
        <f t="shared" si="352"/>
        <v>15.969694080728773</v>
      </c>
      <c r="BF197" s="153">
        <f t="shared" si="265"/>
        <v>0.16587549470148169</v>
      </c>
      <c r="BG197" s="153">
        <f t="shared" ref="BG197:BG210" si="362">AJ197*Nps*SQRT((1-AW197)/3)</f>
        <v>0.1627916635723812</v>
      </c>
      <c r="BI197" s="463">
        <f t="shared" si="306"/>
        <v>9.630137909861447E-3</v>
      </c>
      <c r="BJ197" s="463">
        <f t="shared" si="307"/>
        <v>1.9950434258207611E-2</v>
      </c>
      <c r="BK197" s="463">
        <f t="shared" si="308"/>
        <v>4.3749999999999995E-3</v>
      </c>
      <c r="BL197" s="463">
        <f t="shared" si="309"/>
        <v>1.4035392000000001E-2</v>
      </c>
      <c r="BM197">
        <f t="shared" si="310"/>
        <v>3.7699999999999999E-3</v>
      </c>
      <c r="BN197">
        <f t="shared" si="353"/>
        <v>6.9999999999999999E-6</v>
      </c>
      <c r="BO197" s="463">
        <f t="shared" si="354"/>
        <v>5.3162489794892111E-2</v>
      </c>
      <c r="BP197" s="147">
        <f t="shared" si="311"/>
        <v>51.760964168069059</v>
      </c>
      <c r="BQ197" s="463">
        <f t="shared" si="355"/>
        <v>5.3480860056698797E-2</v>
      </c>
      <c r="BT197" s="147">
        <f t="shared" si="312"/>
        <v>53.480860056698795</v>
      </c>
      <c r="BU197" s="463">
        <f t="shared" si="313"/>
        <v>2.751467974246128E-2</v>
      </c>
      <c r="BV197" s="463">
        <f t="shared" si="314"/>
        <v>2.6501125728663345E-2</v>
      </c>
      <c r="BW197" s="463">
        <f t="shared" si="315"/>
        <v>0</v>
      </c>
      <c r="BX197" s="463"/>
      <c r="BY197" s="463">
        <f t="shared" si="316"/>
        <v>2.8358297872340437E-2</v>
      </c>
      <c r="BZ197" s="147">
        <f t="shared" si="317"/>
        <v>82.374103343465066</v>
      </c>
      <c r="CA197" s="153">
        <f t="shared" si="318"/>
        <v>0.18761592756823289</v>
      </c>
      <c r="CB197" s="5">
        <f t="shared" si="319"/>
        <v>1.3050000000000002</v>
      </c>
      <c r="CC197" s="153">
        <f t="shared" si="320"/>
        <v>0.87430394912514675</v>
      </c>
      <c r="CD197" s="5">
        <f t="shared" si="321"/>
        <v>87.430394912514672</v>
      </c>
      <c r="CG197" s="59">
        <f t="shared" si="356"/>
        <v>-50</v>
      </c>
      <c r="CH197">
        <f t="shared" si="357"/>
        <v>-50</v>
      </c>
    </row>
    <row r="198" spans="5:86" x14ac:dyDescent="0.25">
      <c r="E198" s="150">
        <v>88</v>
      </c>
      <c r="F198" s="191">
        <f t="shared" si="358"/>
        <v>8.8000000000000009E-2</v>
      </c>
      <c r="G198" s="191"/>
      <c r="H198" s="191">
        <f t="shared" si="322"/>
        <v>1.32</v>
      </c>
      <c r="I198" s="472">
        <f t="shared" si="323"/>
        <v>13</v>
      </c>
      <c r="J198" s="386">
        <f t="shared" si="324"/>
        <v>15.32</v>
      </c>
      <c r="K198" s="386">
        <f t="shared" si="325"/>
        <v>28.32</v>
      </c>
      <c r="L198" s="386"/>
      <c r="M198" s="191">
        <f t="shared" si="326"/>
        <v>0.54096045197740117</v>
      </c>
      <c r="N198" s="152">
        <f t="shared" si="327"/>
        <v>2.3997235845654528</v>
      </c>
      <c r="O198" s="152">
        <f t="shared" ref="O198:O261" si="363">T198*F198</f>
        <v>1.32</v>
      </c>
      <c r="P198" s="191">
        <f t="shared" si="328"/>
        <v>0.15998157230436352</v>
      </c>
      <c r="Q198" s="191">
        <f t="shared" si="329"/>
        <v>15</v>
      </c>
      <c r="R198" s="191"/>
      <c r="S198" s="152">
        <f t="shared" si="330"/>
        <v>36.969514057696067</v>
      </c>
      <c r="T198" s="152">
        <f t="shared" si="331"/>
        <v>15</v>
      </c>
      <c r="U198" s="191">
        <f t="shared" si="332"/>
        <v>0.41711186985338417</v>
      </c>
      <c r="V198" s="191">
        <f t="shared" si="333"/>
        <v>1.5080198371622349</v>
      </c>
      <c r="W198" s="191">
        <f t="shared" si="334"/>
        <v>1.2796512978530712</v>
      </c>
      <c r="X198" s="175">
        <f t="shared" si="335"/>
        <v>350</v>
      </c>
      <c r="Y198" s="386">
        <f t="shared" si="303"/>
        <v>350</v>
      </c>
      <c r="AA198" s="191">
        <f t="shared" si="336"/>
        <v>0.42750674016451157</v>
      </c>
      <c r="AB198" s="153">
        <f t="shared" si="337"/>
        <v>1.3115415657788541</v>
      </c>
      <c r="AC198" s="153">
        <f t="shared" si="338"/>
        <v>9.8121250390866027E-2</v>
      </c>
      <c r="AD198" s="153"/>
      <c r="AE198" s="153">
        <f t="shared" si="339"/>
        <v>0.46018276762402083</v>
      </c>
      <c r="AF198" s="317">
        <f t="shared" si="340"/>
        <v>2549.7115839243506</v>
      </c>
      <c r="AG198" s="463">
        <f t="shared" si="341"/>
        <v>1.2079797650130546E-2</v>
      </c>
      <c r="AI198" s="153">
        <f t="shared" si="342"/>
        <v>0.40485803733547987</v>
      </c>
      <c r="AJ198" s="153">
        <f t="shared" si="343"/>
        <v>0.40485803733547987</v>
      </c>
      <c r="AK198" s="153">
        <f t="shared" si="344"/>
        <v>1.3699053582236531</v>
      </c>
      <c r="AM198" s="317">
        <f t="shared" si="345"/>
        <v>88.000000000000014</v>
      </c>
      <c r="AN198" s="147">
        <f t="shared" si="346"/>
        <v>350</v>
      </c>
      <c r="AP198">
        <f t="shared" si="347"/>
        <v>88.000000000000014</v>
      </c>
      <c r="AQ198">
        <f t="shared" si="348"/>
        <v>350</v>
      </c>
      <c r="AS198" s="5">
        <f t="shared" ref="AS198:AS262" si="364">1/AN198*1000</f>
        <v>2.8571428571428572</v>
      </c>
      <c r="AT198" s="5">
        <f t="shared" si="349"/>
        <v>1.4637175195975041</v>
      </c>
      <c r="AU198" s="5">
        <f t="shared" si="304"/>
        <v>1.3934253375453531</v>
      </c>
      <c r="AV198" s="5"/>
      <c r="AW198" s="153">
        <f t="shared" si="305"/>
        <v>0.5123011318591264</v>
      </c>
      <c r="AX198" s="153">
        <f t="shared" si="360"/>
        <v>1.3481600000000005</v>
      </c>
      <c r="AY198" s="153">
        <f t="shared" si="361"/>
        <v>9.872440328312454E-2</v>
      </c>
      <c r="AZ198" s="153">
        <f t="shared" ref="AZ198:AZ210" si="365">AX198/AY198</f>
        <v>13.655792845196647</v>
      </c>
      <c r="BA198" s="147">
        <f t="shared" si="350"/>
        <v>3.4876336995076449</v>
      </c>
      <c r="BB198" s="147">
        <f t="shared" si="351"/>
        <v>13.935769467708093</v>
      </c>
      <c r="BC198" s="5">
        <f t="shared" si="359"/>
        <v>0.20960928154528391</v>
      </c>
      <c r="BD198" s="147">
        <f t="shared" si="352"/>
        <v>16.059157654357829</v>
      </c>
      <c r="BF198" s="153">
        <f t="shared" ref="BF198:BF210" si="366">AJ198*SQRT(AW198/3)</f>
        <v>0.16730341109741545</v>
      </c>
      <c r="BG198" s="153">
        <f t="shared" si="362"/>
        <v>0.16323677720890026</v>
      </c>
      <c r="BI198" s="463">
        <f t="shared" si="306"/>
        <v>9.7966509776907778E-3</v>
      </c>
      <c r="BJ198" s="463">
        <f t="shared" si="307"/>
        <v>2.0064764330346381E-2</v>
      </c>
      <c r="BK198" s="463">
        <f t="shared" si="308"/>
        <v>4.3749999999999995E-3</v>
      </c>
      <c r="BL198" s="463">
        <f t="shared" si="309"/>
        <v>1.4035392000000001E-2</v>
      </c>
      <c r="BM198">
        <f t="shared" si="310"/>
        <v>3.7699999999999999E-3</v>
      </c>
      <c r="BN198">
        <f t="shared" si="353"/>
        <v>6.9999999999999999E-6</v>
      </c>
      <c r="BO198" s="463">
        <f t="shared" si="354"/>
        <v>5.3467997638968569E-2</v>
      </c>
      <c r="BP198" s="147">
        <f t="shared" si="311"/>
        <v>52.041807308037164</v>
      </c>
      <c r="BQ198" s="463">
        <f t="shared" si="355"/>
        <v>5.3973731511230784E-2</v>
      </c>
      <c r="BT198" s="147">
        <f t="shared" si="312"/>
        <v>53.973731511230781</v>
      </c>
      <c r="BU198" s="463">
        <f t="shared" si="313"/>
        <v>2.7990431364830794E-2</v>
      </c>
      <c r="BV198" s="463">
        <f t="shared" si="314"/>
        <v>2.6646245433548137E-2</v>
      </c>
      <c r="BW198" s="463">
        <f t="shared" si="315"/>
        <v>0</v>
      </c>
      <c r="BX198" s="463"/>
      <c r="BY198" s="463">
        <f t="shared" si="316"/>
        <v>2.8684255319148946E-2</v>
      </c>
      <c r="BZ198" s="147">
        <f t="shared" si="317"/>
        <v>83.320932117527875</v>
      </c>
      <c r="CA198" s="153">
        <f t="shared" si="318"/>
        <v>0.18933647093679581</v>
      </c>
      <c r="CB198" s="5">
        <f t="shared" si="319"/>
        <v>1.32</v>
      </c>
      <c r="CC198" s="153">
        <f t="shared" si="320"/>
        <v>0.87455648585813295</v>
      </c>
      <c r="CD198" s="5">
        <f t="shared" si="321"/>
        <v>87.455648585813293</v>
      </c>
      <c r="CG198" s="59">
        <f t="shared" si="356"/>
        <v>-50</v>
      </c>
      <c r="CH198">
        <f t="shared" si="357"/>
        <v>-50</v>
      </c>
    </row>
    <row r="199" spans="5:86" x14ac:dyDescent="0.25">
      <c r="E199" s="150">
        <v>89</v>
      </c>
      <c r="F199" s="191">
        <f t="shared" si="358"/>
        <v>8.900000000000001E-2</v>
      </c>
      <c r="G199" s="191"/>
      <c r="H199" s="191">
        <f t="shared" si="322"/>
        <v>1.3350000000000002</v>
      </c>
      <c r="I199" s="472">
        <f t="shared" si="323"/>
        <v>13</v>
      </c>
      <c r="J199" s="386">
        <f t="shared" si="324"/>
        <v>15.32</v>
      </c>
      <c r="K199" s="386">
        <f t="shared" si="325"/>
        <v>28.32</v>
      </c>
      <c r="L199" s="386"/>
      <c r="M199" s="191">
        <f t="shared" si="326"/>
        <v>0.54096045197740117</v>
      </c>
      <c r="N199" s="152">
        <f t="shared" si="327"/>
        <v>2.3997235845654528</v>
      </c>
      <c r="O199" s="152">
        <f t="shared" si="363"/>
        <v>1.3350000000000002</v>
      </c>
      <c r="P199" s="191">
        <f t="shared" si="328"/>
        <v>0.15998157230436352</v>
      </c>
      <c r="Q199" s="191">
        <f t="shared" si="329"/>
        <v>15</v>
      </c>
      <c r="R199" s="191"/>
      <c r="S199" s="152">
        <f t="shared" si="330"/>
        <v>36.411008615371898</v>
      </c>
      <c r="T199" s="152">
        <f t="shared" si="331"/>
        <v>15</v>
      </c>
      <c r="U199" s="191">
        <f t="shared" si="332"/>
        <v>0.42185177746535446</v>
      </c>
      <c r="V199" s="191">
        <f t="shared" si="333"/>
        <v>1.5251564262208968</v>
      </c>
      <c r="W199" s="191">
        <f t="shared" si="334"/>
        <v>1.2941927898741292</v>
      </c>
      <c r="X199" s="175">
        <f t="shared" si="335"/>
        <v>350</v>
      </c>
      <c r="Y199" s="386">
        <f t="shared" si="303"/>
        <v>350</v>
      </c>
      <c r="AA199" s="191">
        <f t="shared" si="336"/>
        <v>0.42750674016451157</v>
      </c>
      <c r="AB199" s="153">
        <f t="shared" si="337"/>
        <v>1.3115415657788541</v>
      </c>
      <c r="AC199" s="153">
        <f t="shared" si="338"/>
        <v>9.8121250390866027E-2</v>
      </c>
      <c r="AD199" s="153"/>
      <c r="AE199" s="153">
        <f t="shared" si="339"/>
        <v>0.46018276762402083</v>
      </c>
      <c r="AF199" s="317">
        <f t="shared" si="340"/>
        <v>2578.6855791962184</v>
      </c>
      <c r="AG199" s="463">
        <f t="shared" si="341"/>
        <v>1.2079797650130546E-2</v>
      </c>
      <c r="AI199" s="153">
        <f t="shared" si="342"/>
        <v>0.40715186893455335</v>
      </c>
      <c r="AJ199" s="153">
        <f t="shared" si="343"/>
        <v>0.40715186893455335</v>
      </c>
      <c r="AK199" s="153">
        <f t="shared" si="344"/>
        <v>1.3714345792897022</v>
      </c>
      <c r="AM199" s="317">
        <f t="shared" si="345"/>
        <v>89.000000000000014</v>
      </c>
      <c r="AN199" s="147">
        <f t="shared" si="346"/>
        <v>350</v>
      </c>
      <c r="AP199">
        <f t="shared" si="347"/>
        <v>89.000000000000014</v>
      </c>
      <c r="AQ199">
        <f t="shared" si="348"/>
        <v>350</v>
      </c>
      <c r="AS199" s="5">
        <f t="shared" si="364"/>
        <v>2.8571428571428572</v>
      </c>
      <c r="AT199" s="5">
        <f t="shared" si="349"/>
        <v>1.4720106030710773</v>
      </c>
      <c r="AU199" s="5">
        <f t="shared" si="304"/>
        <v>1.3851322540717799</v>
      </c>
      <c r="AV199" s="5"/>
      <c r="AW199" s="153">
        <f t="shared" si="305"/>
        <v>0.51520371107487706</v>
      </c>
      <c r="AX199" s="153">
        <f t="shared" si="360"/>
        <v>1.36348</v>
      </c>
      <c r="AY199" s="153">
        <f t="shared" si="361"/>
        <v>9.8692857544199764E-2</v>
      </c>
      <c r="AZ199" s="153">
        <f t="shared" si="365"/>
        <v>13.815386786114317</v>
      </c>
      <c r="BA199" s="147">
        <f t="shared" si="350"/>
        <v>3.4876336995076449</v>
      </c>
      <c r="BB199" s="147">
        <f t="shared" si="351"/>
        <v>14.251256967163712</v>
      </c>
      <c r="BC199" s="5">
        <f t="shared" si="359"/>
        <v>0.2107295224143392</v>
      </c>
      <c r="BD199" s="147">
        <f t="shared" si="352"/>
        <v>16.147021873383132</v>
      </c>
      <c r="BF199" s="153">
        <f t="shared" si="366"/>
        <v>0.1687272765714686</v>
      </c>
      <c r="BG199" s="153">
        <f t="shared" si="362"/>
        <v>0.16367239921993071</v>
      </c>
      <c r="BI199" s="463">
        <f t="shared" si="306"/>
        <v>9.9641128507287E-3</v>
      </c>
      <c r="BJ199" s="463">
        <f t="shared" si="307"/>
        <v>2.0178446624396464E-2</v>
      </c>
      <c r="BK199" s="463">
        <f t="shared" si="308"/>
        <v>4.3749999999999995E-3</v>
      </c>
      <c r="BL199" s="463">
        <f t="shared" si="309"/>
        <v>1.4035392000000001E-2</v>
      </c>
      <c r="BM199">
        <f t="shared" si="310"/>
        <v>3.7699999999999999E-3</v>
      </c>
      <c r="BN199">
        <f t="shared" si="353"/>
        <v>6.9999999999999999E-6</v>
      </c>
      <c r="BO199" s="463">
        <f t="shared" si="354"/>
        <v>5.3773963625822298E-2</v>
      </c>
      <c r="BP199" s="147">
        <f t="shared" si="311"/>
        <v>52.322951475125166</v>
      </c>
      <c r="BQ199" s="463">
        <f t="shared" si="355"/>
        <v>5.4464531859536008E-2</v>
      </c>
      <c r="BT199" s="147">
        <f t="shared" si="312"/>
        <v>54.46453185953601</v>
      </c>
      <c r="BU199" s="463">
        <f t="shared" si="313"/>
        <v>2.8468893859224857E-2</v>
      </c>
      <c r="BV199" s="463">
        <f t="shared" si="314"/>
        <v>2.6788654266408373E-2</v>
      </c>
      <c r="BW199" s="463">
        <f t="shared" si="315"/>
        <v>0</v>
      </c>
      <c r="BX199" s="463"/>
      <c r="BY199" s="463">
        <f t="shared" si="316"/>
        <v>2.9010212765957454E-2</v>
      </c>
      <c r="BZ199" s="147">
        <f t="shared" si="317"/>
        <v>84.267760891590683</v>
      </c>
      <c r="CA199" s="153">
        <f t="shared" si="318"/>
        <v>0.19105524422625184</v>
      </c>
      <c r="CB199" s="5">
        <f t="shared" si="319"/>
        <v>1.3350000000000002</v>
      </c>
      <c r="CC199" s="153">
        <f t="shared" si="320"/>
        <v>0.87480450334344118</v>
      </c>
      <c r="CD199" s="5">
        <f t="shared" si="321"/>
        <v>87.480450334344113</v>
      </c>
      <c r="CG199" s="59">
        <f t="shared" si="356"/>
        <v>-50</v>
      </c>
      <c r="CH199">
        <f t="shared" si="357"/>
        <v>-50</v>
      </c>
    </row>
    <row r="200" spans="5:86" x14ac:dyDescent="0.25">
      <c r="E200" s="150">
        <v>90</v>
      </c>
      <c r="F200" s="191">
        <f t="shared" si="358"/>
        <v>9.0000000000000011E-2</v>
      </c>
      <c r="G200" s="191"/>
      <c r="H200" s="191">
        <f t="shared" si="322"/>
        <v>1.35</v>
      </c>
      <c r="I200" s="472">
        <f t="shared" si="323"/>
        <v>13</v>
      </c>
      <c r="J200" s="386">
        <f t="shared" si="324"/>
        <v>15.32</v>
      </c>
      <c r="K200" s="386">
        <f t="shared" si="325"/>
        <v>28.32</v>
      </c>
      <c r="L200" s="386"/>
      <c r="M200" s="191">
        <f t="shared" si="326"/>
        <v>0.54096045197740117</v>
      </c>
      <c r="N200" s="152">
        <f t="shared" si="327"/>
        <v>2.3997235845654528</v>
      </c>
      <c r="O200" s="152">
        <f t="shared" si="363"/>
        <v>1.35</v>
      </c>
      <c r="P200" s="191">
        <f t="shared" si="328"/>
        <v>0.15998157230436352</v>
      </c>
      <c r="Q200" s="191">
        <f t="shared" si="329"/>
        <v>15</v>
      </c>
      <c r="R200" s="191"/>
      <c r="S200" s="152">
        <f t="shared" si="330"/>
        <v>35.864964875999071</v>
      </c>
      <c r="T200" s="152">
        <f t="shared" si="331"/>
        <v>15</v>
      </c>
      <c r="U200" s="191">
        <f t="shared" si="332"/>
        <v>0.4265916850773247</v>
      </c>
      <c r="V200" s="191">
        <f t="shared" si="333"/>
        <v>1.5422930152795586</v>
      </c>
      <c r="W200" s="191">
        <f t="shared" si="334"/>
        <v>1.3087342818951868</v>
      </c>
      <c r="X200" s="175">
        <f t="shared" si="335"/>
        <v>350</v>
      </c>
      <c r="Y200" s="386">
        <f t="shared" si="303"/>
        <v>350</v>
      </c>
      <c r="AA200" s="191">
        <f t="shared" si="336"/>
        <v>0.42750674016451157</v>
      </c>
      <c r="AB200" s="153">
        <f t="shared" si="337"/>
        <v>1.3115415657788541</v>
      </c>
      <c r="AC200" s="153">
        <f t="shared" si="338"/>
        <v>9.8121250390866027E-2</v>
      </c>
      <c r="AD200" s="153"/>
      <c r="AE200" s="153">
        <f t="shared" si="339"/>
        <v>0.46018276762402083</v>
      </c>
      <c r="AF200" s="317">
        <f t="shared" si="340"/>
        <v>2607.6595744680858</v>
      </c>
      <c r="AG200" s="463">
        <f t="shared" si="341"/>
        <v>1.2079797650130546E-2</v>
      </c>
      <c r="AI200" s="153">
        <f t="shared" si="342"/>
        <v>0.40943284963307797</v>
      </c>
      <c r="AJ200" s="153">
        <f t="shared" si="343"/>
        <v>0.40943284963307797</v>
      </c>
      <c r="AK200" s="153">
        <f t="shared" si="344"/>
        <v>1.3729552330887187</v>
      </c>
      <c r="AM200" s="317">
        <f t="shared" si="345"/>
        <v>90.000000000000014</v>
      </c>
      <c r="AN200" s="147">
        <f t="shared" si="346"/>
        <v>350</v>
      </c>
      <c r="AP200">
        <f t="shared" si="347"/>
        <v>90.000000000000014</v>
      </c>
      <c r="AQ200">
        <f t="shared" si="348"/>
        <v>350</v>
      </c>
      <c r="AS200" s="5">
        <f t="shared" si="364"/>
        <v>2.8571428571428572</v>
      </c>
      <c r="AT200" s="5">
        <f t="shared" si="349"/>
        <v>1.4802572255965125</v>
      </c>
      <c r="AU200" s="5">
        <f t="shared" si="304"/>
        <v>1.3768856315463447</v>
      </c>
      <c r="AV200" s="5"/>
      <c r="AW200" s="153">
        <f t="shared" si="305"/>
        <v>0.51809002895877931</v>
      </c>
      <c r="AX200" s="153">
        <f t="shared" si="360"/>
        <v>1.3788</v>
      </c>
      <c r="AY200" s="153">
        <f t="shared" si="361"/>
        <v>9.865488635500054E-2</v>
      </c>
      <c r="AZ200" s="153">
        <f t="shared" si="365"/>
        <v>13.975992988715378</v>
      </c>
      <c r="BA200" s="147">
        <f t="shared" si="350"/>
        <v>3.4876336995076449</v>
      </c>
      <c r="BB200" s="147">
        <f t="shared" si="351"/>
        <v>14.570275398816573</v>
      </c>
      <c r="BC200" s="5">
        <f t="shared" si="359"/>
        <v>0.21182855869943765</v>
      </c>
      <c r="BD200" s="147">
        <f t="shared" si="352"/>
        <v>16.23329574861167</v>
      </c>
      <c r="BF200" s="153">
        <f t="shared" si="366"/>
        <v>0.17014714794117863</v>
      </c>
      <c r="BG200" s="153">
        <f t="shared" si="362"/>
        <v>0.16409865173233515</v>
      </c>
      <c r="BI200" s="463">
        <f t="shared" si="306"/>
        <v>1.0132518183381066E-2</v>
      </c>
      <c r="BJ200" s="463">
        <f t="shared" si="307"/>
        <v>2.0291492027815345E-2</v>
      </c>
      <c r="BK200" s="463">
        <f t="shared" si="308"/>
        <v>4.3749999999999995E-3</v>
      </c>
      <c r="BL200" s="463">
        <f t="shared" si="309"/>
        <v>1.4035392000000001E-2</v>
      </c>
      <c r="BM200">
        <f t="shared" si="310"/>
        <v>3.7699999999999999E-3</v>
      </c>
      <c r="BN200">
        <f t="shared" si="353"/>
        <v>6.9999999999999999E-6</v>
      </c>
      <c r="BO200" s="463">
        <f t="shared" si="354"/>
        <v>5.4080392734780151E-2</v>
      </c>
      <c r="BP200" s="147">
        <f t="shared" si="311"/>
        <v>52.604402211196408</v>
      </c>
      <c r="BQ200" s="463">
        <f t="shared" si="355"/>
        <v>5.4953272770282856E-2</v>
      </c>
      <c r="BT200" s="147">
        <f t="shared" si="312"/>
        <v>54.953272770282858</v>
      </c>
      <c r="BU200" s="463">
        <f t="shared" si="313"/>
        <v>2.895005195251733E-2</v>
      </c>
      <c r="BV200" s="463">
        <f t="shared" si="314"/>
        <v>2.6928367500370223E-2</v>
      </c>
      <c r="BW200" s="463">
        <f t="shared" si="315"/>
        <v>0</v>
      </c>
      <c r="BX200" s="463"/>
      <c r="BY200" s="463">
        <f t="shared" si="316"/>
        <v>2.9336170212765966E-2</v>
      </c>
      <c r="BZ200" s="147">
        <f t="shared" si="317"/>
        <v>85.214589665653506</v>
      </c>
      <c r="CA200" s="153">
        <f t="shared" si="318"/>
        <v>0.19277226464713279</v>
      </c>
      <c r="CB200" s="5">
        <f t="shared" si="319"/>
        <v>1.35</v>
      </c>
      <c r="CC200" s="153">
        <f t="shared" si="320"/>
        <v>0.87504813959614169</v>
      </c>
      <c r="CD200" s="5">
        <f t="shared" si="321"/>
        <v>87.504813959614168</v>
      </c>
      <c r="CG200" s="59">
        <f t="shared" si="356"/>
        <v>-50</v>
      </c>
      <c r="CH200">
        <f t="shared" si="357"/>
        <v>-50</v>
      </c>
    </row>
    <row r="201" spans="5:86" x14ac:dyDescent="0.25">
      <c r="E201" s="150">
        <v>91</v>
      </c>
      <c r="F201" s="191">
        <f t="shared" si="358"/>
        <v>9.1000000000000011E-2</v>
      </c>
      <c r="G201" s="191"/>
      <c r="H201" s="191">
        <f t="shared" si="322"/>
        <v>1.3650000000000002</v>
      </c>
      <c r="I201" s="472">
        <f t="shared" si="323"/>
        <v>13</v>
      </c>
      <c r="J201" s="386">
        <f t="shared" si="324"/>
        <v>15.32</v>
      </c>
      <c r="K201" s="386">
        <f t="shared" si="325"/>
        <v>28.32</v>
      </c>
      <c r="L201" s="386"/>
      <c r="M201" s="191">
        <f t="shared" si="326"/>
        <v>0.54096045197740117</v>
      </c>
      <c r="N201" s="152">
        <f t="shared" si="327"/>
        <v>2.3997235845654528</v>
      </c>
      <c r="O201" s="152">
        <f t="shared" si="363"/>
        <v>1.3650000000000002</v>
      </c>
      <c r="P201" s="191">
        <f t="shared" si="328"/>
        <v>0.15998157230436352</v>
      </c>
      <c r="Q201" s="191">
        <f t="shared" si="329"/>
        <v>15</v>
      </c>
      <c r="R201" s="191"/>
      <c r="S201" s="152">
        <f t="shared" si="330"/>
        <v>35.33097257300971</v>
      </c>
      <c r="T201" s="152">
        <f t="shared" si="331"/>
        <v>15</v>
      </c>
      <c r="U201" s="191">
        <f t="shared" si="332"/>
        <v>0.431331592689295</v>
      </c>
      <c r="V201" s="191">
        <f t="shared" si="333"/>
        <v>1.5594296043382203</v>
      </c>
      <c r="W201" s="191">
        <f t="shared" si="334"/>
        <v>1.3232757739162444</v>
      </c>
      <c r="X201" s="175">
        <f t="shared" si="335"/>
        <v>350</v>
      </c>
      <c r="Y201" s="386">
        <f t="shared" si="303"/>
        <v>346.89635907416937</v>
      </c>
      <c r="AA201" s="191">
        <f t="shared" si="336"/>
        <v>0.42750674016451157</v>
      </c>
      <c r="AB201" s="153">
        <f t="shared" si="337"/>
        <v>1.3115415657788541</v>
      </c>
      <c r="AC201" s="153">
        <f t="shared" si="338"/>
        <v>9.8121250390866027E-2</v>
      </c>
      <c r="AD201" s="153"/>
      <c r="AE201" s="153">
        <f t="shared" si="339"/>
        <v>0.46018276762402083</v>
      </c>
      <c r="AF201" s="317">
        <f t="shared" si="340"/>
        <v>2636.6335697399536</v>
      </c>
      <c r="AG201" s="463">
        <f t="shared" si="341"/>
        <v>1.2079797650130546E-2</v>
      </c>
      <c r="AI201" s="153">
        <f t="shared" si="342"/>
        <v>0.41170119302769276</v>
      </c>
      <c r="AJ201" s="153">
        <f t="shared" si="343"/>
        <v>0.41170119302769276</v>
      </c>
      <c r="AK201" s="153">
        <f t="shared" si="344"/>
        <v>1.3744674620184618</v>
      </c>
      <c r="AM201" s="317">
        <f t="shared" si="345"/>
        <v>91.000000000000014</v>
      </c>
      <c r="AN201" s="147">
        <f t="shared" si="346"/>
        <v>346.89635907416937</v>
      </c>
      <c r="AP201">
        <f t="shared" si="347"/>
        <v>91.000000000000014</v>
      </c>
      <c r="AQ201">
        <f t="shared" si="348"/>
        <v>346.89635907416937</v>
      </c>
      <c r="AS201" s="5">
        <f t="shared" si="364"/>
        <v>2.8827053782544647</v>
      </c>
      <c r="AT201" s="5">
        <f t="shared" si="349"/>
        <v>1.4884581594078123</v>
      </c>
      <c r="AU201" s="5">
        <f t="shared" si="304"/>
        <v>1.3942472188466524</v>
      </c>
      <c r="AV201" s="5"/>
      <c r="AW201" s="153">
        <f t="shared" si="305"/>
        <v>0.51634071613280974</v>
      </c>
      <c r="AX201" s="153">
        <f t="shared" si="360"/>
        <v>1.3817575774642314</v>
      </c>
      <c r="AY201" s="153">
        <f t="shared" si="361"/>
        <v>9.9561552093520869E-2</v>
      </c>
      <c r="AZ201" s="153">
        <f t="shared" si="365"/>
        <v>13.878425440438182</v>
      </c>
      <c r="BA201" s="147">
        <f t="shared" si="350"/>
        <v>3.4876336995076449</v>
      </c>
      <c r="BB201" s="147">
        <f t="shared" si="351"/>
        <v>14.892824762666674</v>
      </c>
      <c r="BC201" s="5">
        <f t="shared" si="359"/>
        <v>0.21688290070947927</v>
      </c>
      <c r="BD201" s="147">
        <f t="shared" si="352"/>
        <v>16.616217553210941</v>
      </c>
      <c r="BF201" s="153">
        <f t="shared" si="366"/>
        <v>0.17080071505240924</v>
      </c>
      <c r="BG201" s="153">
        <f t="shared" si="362"/>
        <v>0.16530700686216404</v>
      </c>
      <c r="BI201" s="463">
        <f t="shared" si="306"/>
        <v>1.0210509491845002E-2</v>
      </c>
      <c r="BJ201" s="463">
        <f t="shared" si="307"/>
        <v>2.0222978516112253E-2</v>
      </c>
      <c r="BK201" s="463">
        <f t="shared" si="308"/>
        <v>4.3362044884271162E-3</v>
      </c>
      <c r="BL201" s="463">
        <f t="shared" si="309"/>
        <v>1.3910932522796356E-2</v>
      </c>
      <c r="BM201">
        <f t="shared" si="310"/>
        <v>3.7699999999999999E-3</v>
      </c>
      <c r="BN201">
        <f t="shared" si="353"/>
        <v>6.9379271814833876E-6</v>
      </c>
      <c r="BO201" s="463">
        <f t="shared" si="354"/>
        <v>5.3937591466198552E-2</v>
      </c>
      <c r="BP201" s="147">
        <f t="shared" si="311"/>
        <v>52.450625019180727</v>
      </c>
      <c r="BQ201" s="463">
        <f t="shared" si="355"/>
        <v>5.5639374579543856E-2</v>
      </c>
      <c r="BT201" s="147">
        <f t="shared" si="312"/>
        <v>55.639374579543855</v>
      </c>
      <c r="BU201" s="463">
        <f t="shared" si="313"/>
        <v>2.9172884262414295E-2</v>
      </c>
      <c r="BV201" s="463">
        <f t="shared" si="314"/>
        <v>2.7326406517727549E-2</v>
      </c>
      <c r="BW201" s="463">
        <f t="shared" si="315"/>
        <v>0</v>
      </c>
      <c r="BX201" s="463"/>
      <c r="BY201" s="463">
        <f t="shared" si="316"/>
        <v>2.9399097392855993E-2</v>
      </c>
      <c r="BZ201" s="147">
        <f t="shared" si="317"/>
        <v>85.898388172997841</v>
      </c>
      <c r="CA201" s="153">
        <f t="shared" si="318"/>
        <v>0.19398838777172242</v>
      </c>
      <c r="CB201" s="5">
        <f t="shared" si="319"/>
        <v>1.3650000000000002</v>
      </c>
      <c r="CC201" s="153">
        <f t="shared" si="320"/>
        <v>0.87556777889218795</v>
      </c>
      <c r="CD201" s="5">
        <f t="shared" si="321"/>
        <v>87.556777889218793</v>
      </c>
      <c r="CG201" s="59">
        <f t="shared" si="356"/>
        <v>-50</v>
      </c>
      <c r="CH201">
        <f t="shared" si="357"/>
        <v>-50</v>
      </c>
    </row>
    <row r="202" spans="5:86" x14ac:dyDescent="0.25">
      <c r="E202" s="150">
        <v>92</v>
      </c>
      <c r="F202" s="191">
        <f t="shared" si="358"/>
        <v>9.2000000000000012E-2</v>
      </c>
      <c r="G202" s="191"/>
      <c r="H202" s="191">
        <f t="shared" si="322"/>
        <v>1.3800000000000001</v>
      </c>
      <c r="I202" s="472">
        <f t="shared" si="323"/>
        <v>13</v>
      </c>
      <c r="J202" s="386">
        <f t="shared" si="324"/>
        <v>15.32</v>
      </c>
      <c r="K202" s="386">
        <f t="shared" si="325"/>
        <v>28.32</v>
      </c>
      <c r="L202" s="386"/>
      <c r="M202" s="191">
        <f t="shared" si="326"/>
        <v>0.54096045197740117</v>
      </c>
      <c r="N202" s="152">
        <f t="shared" si="327"/>
        <v>2.3997235845654528</v>
      </c>
      <c r="O202" s="152">
        <f t="shared" si="363"/>
        <v>1.3800000000000001</v>
      </c>
      <c r="P202" s="191">
        <f t="shared" si="328"/>
        <v>0.15998157230436352</v>
      </c>
      <c r="Q202" s="191">
        <f t="shared" si="329"/>
        <v>15</v>
      </c>
      <c r="R202" s="191"/>
      <c r="S202" s="152">
        <f t="shared" si="330"/>
        <v>34.808639285366517</v>
      </c>
      <c r="T202" s="152">
        <f t="shared" si="331"/>
        <v>15</v>
      </c>
      <c r="U202" s="191">
        <f t="shared" si="332"/>
        <v>0.43607150030126524</v>
      </c>
      <c r="V202" s="191">
        <f t="shared" si="333"/>
        <v>1.576566193396882</v>
      </c>
      <c r="W202" s="191">
        <f t="shared" si="334"/>
        <v>1.3378172659373018</v>
      </c>
      <c r="X202" s="175">
        <f t="shared" si="335"/>
        <v>350</v>
      </c>
      <c r="Y202" s="386">
        <f t="shared" si="303"/>
        <v>343.12574647553714</v>
      </c>
      <c r="AA202" s="191">
        <f t="shared" si="336"/>
        <v>0.42750674016451157</v>
      </c>
      <c r="AB202" s="153">
        <f t="shared" si="337"/>
        <v>1.3115415657788541</v>
      </c>
      <c r="AC202" s="153">
        <f t="shared" si="338"/>
        <v>9.8121250390866027E-2</v>
      </c>
      <c r="AD202" s="153"/>
      <c r="AE202" s="153">
        <f t="shared" si="339"/>
        <v>0.46018276762402083</v>
      </c>
      <c r="AF202" s="317">
        <f t="shared" si="340"/>
        <v>2665.6075650118214</v>
      </c>
      <c r="AG202" s="463">
        <f t="shared" si="341"/>
        <v>1.2079797650130546E-2</v>
      </c>
      <c r="AI202" s="153">
        <f t="shared" si="342"/>
        <v>0.41395710686276233</v>
      </c>
      <c r="AJ202" s="153">
        <f t="shared" si="343"/>
        <v>0.41395710686276233</v>
      </c>
      <c r="AK202" s="153">
        <f t="shared" si="344"/>
        <v>1.375971404575175</v>
      </c>
      <c r="AM202" s="317">
        <f t="shared" si="345"/>
        <v>92.000000000000014</v>
      </c>
      <c r="AN202" s="147">
        <f t="shared" si="346"/>
        <v>343.12574647553714</v>
      </c>
      <c r="AP202">
        <f t="shared" si="347"/>
        <v>92.000000000000014</v>
      </c>
      <c r="AQ202">
        <f t="shared" si="348"/>
        <v>343.12574647553714</v>
      </c>
      <c r="AS202" s="5">
        <f t="shared" si="364"/>
        <v>2.9143834593341835</v>
      </c>
      <c r="AT202" s="5">
        <f t="shared" si="349"/>
        <v>1.4966141555807559</v>
      </c>
      <c r="AU202" s="5">
        <f t="shared" si="304"/>
        <v>1.4177693037534276</v>
      </c>
      <c r="AV202" s="5"/>
      <c r="AW202" s="153">
        <f t="shared" si="305"/>
        <v>0.51352684931950254</v>
      </c>
      <c r="AX202" s="153">
        <f t="shared" si="360"/>
        <v>1.3817575774642312</v>
      </c>
      <c r="AY202" s="153">
        <f t="shared" si="361"/>
        <v>0.10068950901105568</v>
      </c>
      <c r="AZ202" s="153">
        <f t="shared" si="365"/>
        <v>13.722954764954853</v>
      </c>
      <c r="BA202" s="147">
        <f t="shared" si="350"/>
        <v>3.4876336995076449</v>
      </c>
      <c r="BB202" s="147">
        <f t="shared" si="351"/>
        <v>15.218905058714011</v>
      </c>
      <c r="BC202" s="5">
        <f t="shared" si="359"/>
        <v>0.22296542896635105</v>
      </c>
      <c r="BD202" s="147">
        <f t="shared" si="352"/>
        <v>17.07625332632248</v>
      </c>
      <c r="BF202" s="153">
        <f t="shared" si="366"/>
        <v>0.17126802643701589</v>
      </c>
      <c r="BG202" s="153">
        <f t="shared" si="362"/>
        <v>0.16669560650408805</v>
      </c>
      <c r="BI202" s="463">
        <f t="shared" si="306"/>
        <v>1.0266457907870631E-2</v>
      </c>
      <c r="BJ202" s="463">
        <f t="shared" si="307"/>
        <v>2.0112770728241289E-2</v>
      </c>
      <c r="BK202" s="463">
        <f t="shared" si="308"/>
        <v>4.2890718309442138E-3</v>
      </c>
      <c r="BL202" s="463">
        <f t="shared" si="309"/>
        <v>1.3759726734505092E-2</v>
      </c>
      <c r="BM202">
        <f t="shared" si="310"/>
        <v>3.7699999999999999E-3</v>
      </c>
      <c r="BN202">
        <f t="shared" si="353"/>
        <v>6.8625149295107433E-6</v>
      </c>
      <c r="BO202" s="463">
        <f t="shared" si="354"/>
        <v>5.3692563920609011E-2</v>
      </c>
      <c r="BP202" s="147">
        <f t="shared" si="311"/>
        <v>52.198027201561224</v>
      </c>
      <c r="BQ202" s="463">
        <f t="shared" si="355"/>
        <v>5.637359287401305E-2</v>
      </c>
      <c r="BT202" s="147">
        <f t="shared" si="312"/>
        <v>56.373592874013049</v>
      </c>
      <c r="BU202" s="463">
        <f t="shared" si="313"/>
        <v>2.9332736879630374E-2</v>
      </c>
      <c r="BV202" s="463">
        <f t="shared" si="314"/>
        <v>2.7787425227765762E-2</v>
      </c>
      <c r="BW202" s="463">
        <f t="shared" si="315"/>
        <v>0</v>
      </c>
      <c r="BX202" s="463"/>
      <c r="BY202" s="463">
        <f t="shared" si="316"/>
        <v>2.939909739285599E-2</v>
      </c>
      <c r="BZ202" s="147">
        <f t="shared" si="317"/>
        <v>86.519259500252133</v>
      </c>
      <c r="CA202" s="153">
        <f t="shared" si="318"/>
        <v>0.19509087957582638</v>
      </c>
      <c r="CB202" s="5">
        <f t="shared" si="319"/>
        <v>1.3800000000000001</v>
      </c>
      <c r="CC202" s="153">
        <f t="shared" si="320"/>
        <v>0.87613992176225119</v>
      </c>
      <c r="CD202" s="5">
        <f t="shared" si="321"/>
        <v>87.613992176225125</v>
      </c>
      <c r="CG202" s="59">
        <f t="shared" si="356"/>
        <v>-50</v>
      </c>
      <c r="CH202">
        <f t="shared" si="357"/>
        <v>-50</v>
      </c>
    </row>
    <row r="203" spans="5:86" x14ac:dyDescent="0.25">
      <c r="E203" s="150">
        <v>93</v>
      </c>
      <c r="F203" s="191">
        <f t="shared" si="358"/>
        <v>9.3000000000000013E-2</v>
      </c>
      <c r="G203" s="191"/>
      <c r="H203" s="191">
        <f t="shared" si="322"/>
        <v>1.3950000000000002</v>
      </c>
      <c r="I203" s="472">
        <f t="shared" si="323"/>
        <v>13</v>
      </c>
      <c r="J203" s="386">
        <f t="shared" si="324"/>
        <v>15.32</v>
      </c>
      <c r="K203" s="386">
        <f t="shared" si="325"/>
        <v>28.32</v>
      </c>
      <c r="L203" s="386"/>
      <c r="M203" s="191">
        <f t="shared" si="326"/>
        <v>0.54096045197740117</v>
      </c>
      <c r="N203" s="152">
        <f t="shared" si="327"/>
        <v>2.3997235845654528</v>
      </c>
      <c r="O203" s="152">
        <f t="shared" si="363"/>
        <v>1.3950000000000002</v>
      </c>
      <c r="P203" s="191">
        <f t="shared" si="328"/>
        <v>0.15998157230436352</v>
      </c>
      <c r="Q203" s="191">
        <f t="shared" si="329"/>
        <v>15</v>
      </c>
      <c r="R203" s="191"/>
      <c r="S203" s="152">
        <f t="shared" si="330"/>
        <v>34.297589478255674</v>
      </c>
      <c r="T203" s="152">
        <f t="shared" si="331"/>
        <v>15</v>
      </c>
      <c r="U203" s="191">
        <f t="shared" si="332"/>
        <v>0.44081140791323559</v>
      </c>
      <c r="V203" s="191">
        <f t="shared" si="333"/>
        <v>1.5937027824555439</v>
      </c>
      <c r="W203" s="191">
        <f t="shared" si="334"/>
        <v>1.3523587579583598</v>
      </c>
      <c r="X203" s="175">
        <f t="shared" si="335"/>
        <v>350</v>
      </c>
      <c r="Y203" s="386">
        <f t="shared" si="303"/>
        <v>339.43622231988616</v>
      </c>
      <c r="AA203" s="191">
        <f t="shared" si="336"/>
        <v>0.42750674016451157</v>
      </c>
      <c r="AB203" s="153">
        <f t="shared" si="337"/>
        <v>1.3115415657788541</v>
      </c>
      <c r="AC203" s="153">
        <f t="shared" si="338"/>
        <v>9.8121250390866027E-2</v>
      </c>
      <c r="AD203" s="153"/>
      <c r="AE203" s="153">
        <f t="shared" si="339"/>
        <v>0.46018276762402083</v>
      </c>
      <c r="AF203" s="317">
        <f t="shared" si="340"/>
        <v>2694.5815602836888</v>
      </c>
      <c r="AG203" s="463">
        <f t="shared" si="341"/>
        <v>1.2079797650130546E-2</v>
      </c>
      <c r="AI203" s="153">
        <f t="shared" si="342"/>
        <v>0.41620079325242926</v>
      </c>
      <c r="AJ203" s="153">
        <f t="shared" si="343"/>
        <v>0.41620079325242926</v>
      </c>
      <c r="AK203" s="153">
        <f t="shared" si="344"/>
        <v>1.3774671955016196</v>
      </c>
      <c r="AM203" s="317">
        <f t="shared" si="345"/>
        <v>93.000000000000014</v>
      </c>
      <c r="AN203" s="147">
        <f t="shared" si="346"/>
        <v>339.43622231988616</v>
      </c>
      <c r="AP203">
        <f t="shared" si="347"/>
        <v>93.000000000000014</v>
      </c>
      <c r="AQ203">
        <f t="shared" si="348"/>
        <v>339.43622231988616</v>
      </c>
      <c r="AS203" s="5">
        <f t="shared" si="364"/>
        <v>2.9460615404139037</v>
      </c>
      <c r="AT203" s="5">
        <f t="shared" si="349"/>
        <v>1.5047259448357055</v>
      </c>
      <c r="AU203" s="5">
        <f t="shared" si="304"/>
        <v>1.4413355955781981</v>
      </c>
      <c r="AV203" s="5"/>
      <c r="AW203" s="153">
        <f t="shared" si="305"/>
        <v>0.51075849034175325</v>
      </c>
      <c r="AX203" s="153">
        <f t="shared" si="360"/>
        <v>1.3817575774642312</v>
      </c>
      <c r="AY203" s="153">
        <f t="shared" si="361"/>
        <v>0.10181135220588916</v>
      </c>
      <c r="AZ203" s="153">
        <f t="shared" si="365"/>
        <v>13.571743695830268</v>
      </c>
      <c r="BA203" s="147">
        <f t="shared" si="350"/>
        <v>3.4876336995076449</v>
      </c>
      <c r="BB203" s="147">
        <f t="shared" si="351"/>
        <v>15.548516286958588</v>
      </c>
      <c r="BC203" s="5">
        <f t="shared" si="359"/>
        <v>0.22913540237397001</v>
      </c>
      <c r="BD203" s="147">
        <f t="shared" si="352"/>
        <v>17.542847485740058</v>
      </c>
      <c r="BF203" s="153">
        <f t="shared" si="366"/>
        <v>0.17173154360179368</v>
      </c>
      <c r="BG203" s="153">
        <f t="shared" si="362"/>
        <v>0.1680753115921422</v>
      </c>
      <c r="BI203" s="463">
        <f t="shared" si="306"/>
        <v>1.0322103073749167E-2</v>
      </c>
      <c r="BJ203" s="463">
        <f t="shared" si="307"/>
        <v>2.0004345298321267E-2</v>
      </c>
      <c r="BK203" s="463">
        <f t="shared" si="308"/>
        <v>4.2429527789985769E-3</v>
      </c>
      <c r="BL203" s="463">
        <f t="shared" si="309"/>
        <v>1.3611772683596432E-2</v>
      </c>
      <c r="BM203">
        <f t="shared" si="310"/>
        <v>3.7699999999999999E-3</v>
      </c>
      <c r="BN203">
        <f t="shared" si="353"/>
        <v>6.7887244463977233E-6</v>
      </c>
      <c r="BO203" s="463">
        <f t="shared" si="354"/>
        <v>5.345324433017562E-2</v>
      </c>
      <c r="BP203" s="147">
        <f t="shared" si="311"/>
        <v>51.951173834665447</v>
      </c>
      <c r="BQ203" s="463">
        <f t="shared" si="355"/>
        <v>5.7108473120231908E-2</v>
      </c>
      <c r="BT203" s="147">
        <f t="shared" si="312"/>
        <v>57.108473120231906</v>
      </c>
      <c r="BU203" s="463">
        <f t="shared" si="313"/>
        <v>2.9491723067854764E-2</v>
      </c>
      <c r="BV203" s="463">
        <f t="shared" si="314"/>
        <v>2.8249310366795691E-2</v>
      </c>
      <c r="BW203" s="463">
        <f t="shared" si="315"/>
        <v>0</v>
      </c>
      <c r="BX203" s="463"/>
      <c r="BY203" s="463">
        <f t="shared" si="316"/>
        <v>2.9399097392855986E-2</v>
      </c>
      <c r="BZ203" s="147">
        <f t="shared" si="317"/>
        <v>87.140130827506439</v>
      </c>
      <c r="CA203" s="153">
        <f t="shared" si="318"/>
        <v>0.1961997777824038</v>
      </c>
      <c r="CB203" s="5">
        <f t="shared" si="319"/>
        <v>1.3950000000000002</v>
      </c>
      <c r="CC203" s="153">
        <f t="shared" si="320"/>
        <v>0.87669695501350553</v>
      </c>
      <c r="CD203" s="5">
        <f t="shared" si="321"/>
        <v>87.66969550135056</v>
      </c>
      <c r="CG203" s="59">
        <f t="shared" si="356"/>
        <v>-50</v>
      </c>
      <c r="CH203">
        <f t="shared" si="357"/>
        <v>-50</v>
      </c>
    </row>
    <row r="204" spans="5:86" x14ac:dyDescent="0.25">
      <c r="E204" s="150">
        <v>94</v>
      </c>
      <c r="F204" s="191">
        <f t="shared" si="358"/>
        <v>9.4E-2</v>
      </c>
      <c r="G204" s="191"/>
      <c r="H204" s="191">
        <f t="shared" si="322"/>
        <v>1.41</v>
      </c>
      <c r="I204" s="472">
        <f t="shared" si="323"/>
        <v>13</v>
      </c>
      <c r="J204" s="386">
        <f t="shared" si="324"/>
        <v>15.32</v>
      </c>
      <c r="K204" s="386">
        <f t="shared" si="325"/>
        <v>28.32</v>
      </c>
      <c r="L204" s="386"/>
      <c r="M204" s="191">
        <f t="shared" si="326"/>
        <v>0.54096045197740117</v>
      </c>
      <c r="N204" s="152">
        <f t="shared" si="327"/>
        <v>2.3997235845654528</v>
      </c>
      <c r="O204" s="152">
        <f t="shared" si="363"/>
        <v>1.41</v>
      </c>
      <c r="P204" s="191">
        <f t="shared" si="328"/>
        <v>0.15998157230436352</v>
      </c>
      <c r="Q204" s="191">
        <f t="shared" si="329"/>
        <v>15</v>
      </c>
      <c r="R204" s="191"/>
      <c r="S204" s="152">
        <f t="shared" si="330"/>
        <v>33.797463605014592</v>
      </c>
      <c r="T204" s="152">
        <f t="shared" si="331"/>
        <v>15</v>
      </c>
      <c r="U204" s="191">
        <f t="shared" si="332"/>
        <v>0.44555131552520577</v>
      </c>
      <c r="V204" s="191">
        <f t="shared" si="333"/>
        <v>1.6108393715142053</v>
      </c>
      <c r="W204" s="191">
        <f t="shared" si="334"/>
        <v>1.3669002499794172</v>
      </c>
      <c r="X204" s="175">
        <f t="shared" si="335"/>
        <v>350</v>
      </c>
      <c r="Y204" s="386">
        <f t="shared" si="303"/>
        <v>335.8251986781853</v>
      </c>
      <c r="AA204" s="191">
        <f t="shared" si="336"/>
        <v>0.42750674016451157</v>
      </c>
      <c r="AB204" s="153">
        <f t="shared" si="337"/>
        <v>1.3115415657788541</v>
      </c>
      <c r="AC204" s="153">
        <f t="shared" si="338"/>
        <v>9.8121250390866027E-2</v>
      </c>
      <c r="AD204" s="153"/>
      <c r="AE204" s="153">
        <f t="shared" si="339"/>
        <v>0.46018276762402083</v>
      </c>
      <c r="AF204" s="317">
        <f t="shared" si="340"/>
        <v>2723.5555555555561</v>
      </c>
      <c r="AG204" s="463">
        <f t="shared" si="341"/>
        <v>1.2079797650130546E-2</v>
      </c>
      <c r="AI204" s="153">
        <f t="shared" si="342"/>
        <v>0.41843244889194992</v>
      </c>
      <c r="AJ204" s="153">
        <f t="shared" si="343"/>
        <v>0.41843244889194992</v>
      </c>
      <c r="AK204" s="153">
        <f t="shared" si="344"/>
        <v>1.3789549659279667</v>
      </c>
      <c r="AM204" s="317">
        <f t="shared" si="345"/>
        <v>94</v>
      </c>
      <c r="AN204" s="147">
        <f t="shared" si="346"/>
        <v>335.8251986781853</v>
      </c>
      <c r="AP204">
        <f t="shared" si="347"/>
        <v>94</v>
      </c>
      <c r="AQ204">
        <f t="shared" si="348"/>
        <v>335.8251986781853</v>
      </c>
      <c r="AS204" s="5">
        <f t="shared" si="364"/>
        <v>2.9777396214936225</v>
      </c>
      <c r="AT204" s="5">
        <f t="shared" si="349"/>
        <v>1.5127942383016648</v>
      </c>
      <c r="AU204" s="5">
        <f t="shared" si="304"/>
        <v>1.4649453831919577</v>
      </c>
      <c r="AV204" s="5"/>
      <c r="AW204" s="153">
        <f t="shared" si="305"/>
        <v>0.50803442563687051</v>
      </c>
      <c r="AX204" s="153">
        <f t="shared" si="360"/>
        <v>1.3817575774642314</v>
      </c>
      <c r="AY204" s="153">
        <f t="shared" si="361"/>
        <v>0.10292718002564948</v>
      </c>
      <c r="AZ204" s="153">
        <f t="shared" si="365"/>
        <v>13.424613179141769</v>
      </c>
      <c r="BA204" s="147">
        <f t="shared" si="350"/>
        <v>3.4876336995076449</v>
      </c>
      <c r="BB204" s="147">
        <f t="shared" si="351"/>
        <v>15.881658447400396</v>
      </c>
      <c r="BC204" s="5">
        <f t="shared" si="359"/>
        <v>0.23539293336759659</v>
      </c>
      <c r="BD204" s="147">
        <f t="shared" si="352"/>
        <v>18.016008464108207</v>
      </c>
      <c r="BF204" s="153">
        <f t="shared" si="366"/>
        <v>0.17219133765897757</v>
      </c>
      <c r="BG204" s="153">
        <f t="shared" si="362"/>
        <v>0.16944629826914703</v>
      </c>
      <c r="BI204" s="463">
        <f t="shared" si="306"/>
        <v>1.0377449867675808E-2</v>
      </c>
      <c r="BJ204" s="463">
        <f t="shared" si="307"/>
        <v>1.9897654696007482E-2</v>
      </c>
      <c r="BK204" s="463">
        <f t="shared" si="308"/>
        <v>4.1978149834773163E-3</v>
      </c>
      <c r="BL204" s="463">
        <f t="shared" si="309"/>
        <v>1.346696659121775E-2</v>
      </c>
      <c r="BM204">
        <f t="shared" si="310"/>
        <v>3.7699999999999999E-3</v>
      </c>
      <c r="BN204">
        <f t="shared" si="353"/>
        <v>6.7165039735637062E-6</v>
      </c>
      <c r="BO204" s="463">
        <f t="shared" si="354"/>
        <v>5.3219454444166606E-2</v>
      </c>
      <c r="BP204" s="147">
        <f t="shared" si="311"/>
        <v>51.709886138378359</v>
      </c>
      <c r="BQ204" s="463">
        <f t="shared" si="355"/>
        <v>5.7844004669797194E-2</v>
      </c>
      <c r="BT204" s="147">
        <f t="shared" si="312"/>
        <v>57.844004669797194</v>
      </c>
      <c r="BU204" s="463">
        <f t="shared" si="313"/>
        <v>2.9649856764788027E-2</v>
      </c>
      <c r="BV204" s="463">
        <f t="shared" si="314"/>
        <v>2.8712047997116741E-2</v>
      </c>
      <c r="BW204" s="463">
        <f t="shared" si="315"/>
        <v>0</v>
      </c>
      <c r="BX204" s="463"/>
      <c r="BY204" s="463">
        <f t="shared" si="316"/>
        <v>2.9399097392856E-2</v>
      </c>
      <c r="BZ204" s="147">
        <f t="shared" si="317"/>
        <v>87.76100215476076</v>
      </c>
      <c r="CA204" s="153">
        <f t="shared" si="318"/>
        <v>0.19731489296293633</v>
      </c>
      <c r="CB204" s="5">
        <f t="shared" si="319"/>
        <v>1.41</v>
      </c>
      <c r="CC204" s="153">
        <f t="shared" si="320"/>
        <v>0.87723942966819368</v>
      </c>
      <c r="CD204" s="5">
        <f t="shared" si="321"/>
        <v>87.723942966819365</v>
      </c>
      <c r="CG204" s="59">
        <f t="shared" si="356"/>
        <v>-50</v>
      </c>
      <c r="CH204">
        <f t="shared" si="357"/>
        <v>-50</v>
      </c>
    </row>
    <row r="205" spans="5:86" x14ac:dyDescent="0.25">
      <c r="E205" s="150">
        <v>95</v>
      </c>
      <c r="F205" s="191">
        <f t="shared" si="358"/>
        <v>9.5000000000000001E-2</v>
      </c>
      <c r="G205" s="191"/>
      <c r="H205" s="191">
        <f t="shared" si="322"/>
        <v>1.425</v>
      </c>
      <c r="I205" s="472">
        <f t="shared" si="323"/>
        <v>13</v>
      </c>
      <c r="J205" s="386">
        <f t="shared" si="324"/>
        <v>15.32</v>
      </c>
      <c r="K205" s="386">
        <f t="shared" si="325"/>
        <v>28.32</v>
      </c>
      <c r="L205" s="386"/>
      <c r="M205" s="191">
        <f t="shared" si="326"/>
        <v>0.54096045197740117</v>
      </c>
      <c r="N205" s="152">
        <f t="shared" si="327"/>
        <v>2.3997235845654528</v>
      </c>
      <c r="O205" s="152">
        <f t="shared" si="363"/>
        <v>1.425</v>
      </c>
      <c r="P205" s="191">
        <f t="shared" si="328"/>
        <v>0.15998157230436352</v>
      </c>
      <c r="Q205" s="191">
        <f t="shared" si="329"/>
        <v>15</v>
      </c>
      <c r="R205" s="191"/>
      <c r="S205" s="152">
        <f t="shared" si="330"/>
        <v>33.307917265782315</v>
      </c>
      <c r="T205" s="152">
        <f t="shared" si="331"/>
        <v>15</v>
      </c>
      <c r="U205" s="191">
        <f t="shared" si="332"/>
        <v>0.45029122313717607</v>
      </c>
      <c r="V205" s="191">
        <f t="shared" si="333"/>
        <v>1.6279759605728672</v>
      </c>
      <c r="W205" s="191">
        <f t="shared" si="334"/>
        <v>1.3814417420004748</v>
      </c>
      <c r="X205" s="175">
        <f t="shared" si="335"/>
        <v>350</v>
      </c>
      <c r="Y205" s="386">
        <f t="shared" si="303"/>
        <v>332.29019658683598</v>
      </c>
      <c r="AA205" s="191">
        <f t="shared" si="336"/>
        <v>0.42750674016451157</v>
      </c>
      <c r="AB205" s="153">
        <f t="shared" si="337"/>
        <v>1.3115415657788541</v>
      </c>
      <c r="AC205" s="153">
        <f t="shared" si="338"/>
        <v>9.8121250390866027E-2</v>
      </c>
      <c r="AD205" s="153"/>
      <c r="AE205" s="153">
        <f t="shared" si="339"/>
        <v>0.46018276762402083</v>
      </c>
      <c r="AF205" s="317">
        <f t="shared" si="340"/>
        <v>2752.5295508274239</v>
      </c>
      <c r="AG205" s="463">
        <f t="shared" si="341"/>
        <v>1.2079797650130546E-2</v>
      </c>
      <c r="AI205" s="153">
        <f t="shared" si="342"/>
        <v>0.42065226525893951</v>
      </c>
      <c r="AJ205" s="153">
        <f t="shared" si="343"/>
        <v>0.42065226525893951</v>
      </c>
      <c r="AK205" s="153">
        <f t="shared" si="344"/>
        <v>1.3804348435059597</v>
      </c>
      <c r="AM205" s="317">
        <f t="shared" si="345"/>
        <v>95</v>
      </c>
      <c r="AN205" s="147">
        <f t="shared" si="346"/>
        <v>332.29019658683598</v>
      </c>
      <c r="AP205">
        <f t="shared" si="347"/>
        <v>95</v>
      </c>
      <c r="AQ205">
        <f t="shared" si="348"/>
        <v>332.29019658683598</v>
      </c>
      <c r="AS205" s="5">
        <f t="shared" si="364"/>
        <v>3.0094177025733417</v>
      </c>
      <c r="AT205" s="5">
        <f t="shared" si="349"/>
        <v>1.5208197282438582</v>
      </c>
      <c r="AU205" s="5">
        <f t="shared" si="304"/>
        <v>1.4885979743294835</v>
      </c>
      <c r="AV205" s="5"/>
      <c r="AW205" s="153">
        <f t="shared" si="305"/>
        <v>0.50535348647129008</v>
      </c>
      <c r="AX205" s="153">
        <f t="shared" si="360"/>
        <v>1.3817575774642314</v>
      </c>
      <c r="AY205" s="153">
        <f t="shared" si="361"/>
        <v>0.10403708820914424</v>
      </c>
      <c r="AZ205" s="153">
        <f t="shared" si="365"/>
        <v>13.281394176339349</v>
      </c>
      <c r="BA205" s="147">
        <f t="shared" si="350"/>
        <v>3.4876336995076449</v>
      </c>
      <c r="BB205" s="147">
        <f t="shared" si="351"/>
        <v>16.218331540039451</v>
      </c>
      <c r="BC205" s="5">
        <f t="shared" si="359"/>
        <v>0.24173813258342039</v>
      </c>
      <c r="BD205" s="147">
        <f t="shared" si="352"/>
        <v>18.495744559141144</v>
      </c>
      <c r="BF205" s="153">
        <f t="shared" si="366"/>
        <v>0.17264747764856567</v>
      </c>
      <c r="BG205" s="153">
        <f t="shared" si="362"/>
        <v>0.17080873675180402</v>
      </c>
      <c r="BI205" s="463">
        <f t="shared" si="306"/>
        <v>1.0432503038444193E-2</v>
      </c>
      <c r="BJ205" s="463">
        <f t="shared" si="307"/>
        <v>1.9792653146730867E-2</v>
      </c>
      <c r="BK205" s="463">
        <f t="shared" si="308"/>
        <v>4.153627457335449E-3</v>
      </c>
      <c r="BL205" s="463">
        <f t="shared" si="309"/>
        <v>1.3325209048152301E-2</v>
      </c>
      <c r="BM205">
        <f t="shared" si="310"/>
        <v>3.7699999999999999E-3</v>
      </c>
      <c r="BN205">
        <f t="shared" si="353"/>
        <v>6.6458039317367195E-6</v>
      </c>
      <c r="BO205" s="463">
        <f t="shared" si="354"/>
        <v>5.2991023357533147E-2</v>
      </c>
      <c r="BP205" s="147">
        <f t="shared" si="311"/>
        <v>51.473992690662811</v>
      </c>
      <c r="BQ205" s="463">
        <f t="shared" si="355"/>
        <v>5.8580177156770781E-2</v>
      </c>
      <c r="BT205" s="147">
        <f t="shared" si="312"/>
        <v>58.58017715677078</v>
      </c>
      <c r="BU205" s="463">
        <f t="shared" si="313"/>
        <v>2.9807151538411982E-2</v>
      </c>
      <c r="BV205" s="463">
        <f t="shared" si="314"/>
        <v>2.9175624550747088E-2</v>
      </c>
      <c r="BW205" s="463">
        <f t="shared" si="315"/>
        <v>0</v>
      </c>
      <c r="BX205" s="463"/>
      <c r="BY205" s="463">
        <f t="shared" si="316"/>
        <v>2.9399097392855997E-2</v>
      </c>
      <c r="BZ205" s="147">
        <f t="shared" si="317"/>
        <v>88.381873482015067</v>
      </c>
      <c r="CA205" s="153">
        <f t="shared" si="318"/>
        <v>0.19843604332944864</v>
      </c>
      <c r="CB205" s="5">
        <f t="shared" si="319"/>
        <v>1.425</v>
      </c>
      <c r="CC205" s="153">
        <f t="shared" si="320"/>
        <v>0.87776787133388812</v>
      </c>
      <c r="CD205" s="5">
        <f t="shared" si="321"/>
        <v>87.776787133388808</v>
      </c>
      <c r="CG205" s="59">
        <f t="shared" si="356"/>
        <v>-50</v>
      </c>
      <c r="CH205">
        <f t="shared" si="357"/>
        <v>-50</v>
      </c>
    </row>
    <row r="206" spans="5:86" x14ac:dyDescent="0.25">
      <c r="E206" s="150">
        <v>96</v>
      </c>
      <c r="F206" s="191">
        <f t="shared" si="358"/>
        <v>9.6000000000000002E-2</v>
      </c>
      <c r="G206" s="191"/>
      <c r="H206" s="191">
        <f t="shared" ref="H206:H210" si="367">F206*Vout</f>
        <v>1.44</v>
      </c>
      <c r="I206" s="472">
        <f t="shared" si="323"/>
        <v>13</v>
      </c>
      <c r="J206" s="386">
        <f t="shared" si="324"/>
        <v>15.32</v>
      </c>
      <c r="K206" s="386">
        <f t="shared" si="325"/>
        <v>28.32</v>
      </c>
      <c r="L206" s="386"/>
      <c r="M206" s="191">
        <f t="shared" si="326"/>
        <v>0.54096045197740117</v>
      </c>
      <c r="N206" s="152">
        <f t="shared" ref="N206:N210" si="368">M206*I206*(Isw_max+VIN_min/Lmag*ILIM_delay)*0.5*Efficiency</f>
        <v>2.3997235845654528</v>
      </c>
      <c r="O206" s="152">
        <f t="shared" si="363"/>
        <v>1.44</v>
      </c>
      <c r="P206" s="191">
        <f t="shared" ref="P206:P210" si="369">N206/Vout</f>
        <v>0.15998157230436352</v>
      </c>
      <c r="Q206" s="191">
        <f t="shared" si="329"/>
        <v>15</v>
      </c>
      <c r="R206" s="191"/>
      <c r="S206" s="152">
        <f t="shared" si="330"/>
        <v>32.828620418736904</v>
      </c>
      <c r="T206" s="152">
        <f t="shared" ref="T206:T210" si="370">MIN(Vout, S206)</f>
        <v>15</v>
      </c>
      <c r="U206" s="191">
        <f t="shared" si="332"/>
        <v>0.45503113074914631</v>
      </c>
      <c r="V206" s="191">
        <f t="shared" ref="V206:V210" si="371">L*U206/I206*1000000</f>
        <v>1.6451125496315289</v>
      </c>
      <c r="W206" s="191">
        <f t="shared" si="334"/>
        <v>1.3959832340215321</v>
      </c>
      <c r="X206" s="175">
        <f t="shared" si="335"/>
        <v>350</v>
      </c>
      <c r="Y206" s="386">
        <f t="shared" si="303"/>
        <v>328.82884037238978</v>
      </c>
      <c r="AA206" s="191">
        <f t="shared" si="336"/>
        <v>0.42750674016451157</v>
      </c>
      <c r="AB206" s="153">
        <f t="shared" ref="AB206:AB210" si="372">L*AA206/J206*1000000</f>
        <v>1.3115415657788541</v>
      </c>
      <c r="AC206" s="153">
        <f t="shared" ref="AC206:AC210" si="373">0.5*AB206*AA206*Nps*X206/1000</f>
        <v>9.8121250390866027E-2</v>
      </c>
      <c r="AD206" s="153"/>
      <c r="AE206" s="153">
        <f t="shared" si="339"/>
        <v>0.46018276762402083</v>
      </c>
      <c r="AF206" s="317">
        <f t="shared" ref="AF206:AF210" si="374">MAX(12000,F206/(0.5*AE206/1000000*Isw_min*Nps))/1000</f>
        <v>2781.5035460992917</v>
      </c>
      <c r="AG206" s="463">
        <f t="shared" si="341"/>
        <v>1.2079797650130546E-2</v>
      </c>
      <c r="AI206" s="153">
        <f t="shared" si="342"/>
        <v>0.42286042880510832</v>
      </c>
      <c r="AJ206" s="153">
        <f t="shared" ref="AJ206:AJ210" si="375">MAX(IF(F206&gt;AC206,U206,AI206),Isw_min)</f>
        <v>0.42286042880510832</v>
      </c>
      <c r="AK206" s="153">
        <f t="shared" ref="AK206:AK210" si="376">IF(F206&gt;AG206, (AJ206-Isw_min)/1.2*0.8+1.2, AF206*0.2/350+1)</f>
        <v>1.3819069525367389</v>
      </c>
      <c r="AM206" s="317">
        <f t="shared" si="345"/>
        <v>96</v>
      </c>
      <c r="AN206" s="147">
        <f t="shared" si="346"/>
        <v>328.82884037238978</v>
      </c>
      <c r="AP206">
        <f t="shared" si="347"/>
        <v>96</v>
      </c>
      <c r="AQ206">
        <f t="shared" si="348"/>
        <v>328.82884037238978</v>
      </c>
      <c r="AS206" s="5">
        <f t="shared" si="364"/>
        <v>3.041095783653061</v>
      </c>
      <c r="AT206" s="5">
        <f t="shared" si="349"/>
        <v>1.5288030887569299</v>
      </c>
      <c r="AU206" s="5">
        <f t="shared" si="304"/>
        <v>1.5122926948961311</v>
      </c>
      <c r="AV206" s="5"/>
      <c r="AW206" s="153">
        <f t="shared" si="305"/>
        <v>0.50271454683366901</v>
      </c>
      <c r="AX206" s="153">
        <f t="shared" si="360"/>
        <v>1.3817575774642312</v>
      </c>
      <c r="AY206" s="153">
        <f t="shared" si="361"/>
        <v>0.10514116998222867</v>
      </c>
      <c r="AZ206" s="153">
        <f t="shared" si="365"/>
        <v>13.141926970165738</v>
      </c>
      <c r="BA206" s="147">
        <f t="shared" si="350"/>
        <v>3.4876336995076449</v>
      </c>
      <c r="BB206" s="147">
        <f t="shared" si="351"/>
        <v>16.558535564875744</v>
      </c>
      <c r="BC206" s="5">
        <f t="shared" si="359"/>
        <v>0.24817110890603175</v>
      </c>
      <c r="BD206" s="147">
        <f t="shared" si="352"/>
        <v>18.982063937183145</v>
      </c>
      <c r="BF206" s="153">
        <f t="shared" si="366"/>
        <v>0.17310003061980095</v>
      </c>
      <c r="BG206" s="153">
        <f t="shared" si="362"/>
        <v>0.17216279161258199</v>
      </c>
      <c r="BI206" s="463">
        <f t="shared" si="306"/>
        <v>1.0487267210201609E-2</v>
      </c>
      <c r="BJ206" s="463">
        <f t="shared" si="307"/>
        <v>1.9689296549179103E-2</v>
      </c>
      <c r="BK206" s="463">
        <f t="shared" si="308"/>
        <v>4.1103605046548721E-3</v>
      </c>
      <c r="BL206" s="463">
        <f t="shared" si="309"/>
        <v>1.3186404787234048E-2</v>
      </c>
      <c r="BM206">
        <f t="shared" si="310"/>
        <v>3.7699999999999999E-3</v>
      </c>
      <c r="BN206">
        <f t="shared" si="353"/>
        <v>6.5765768074477959E-6</v>
      </c>
      <c r="BO206" s="463">
        <f t="shared" ref="BO206:BO210" si="377">(BJ206+BK206+BL206+BM206+BN206+BI206*(1+RdsonTC*(Ta-25)))/(1-BI206*RdsonTC*ThetaJA)</f>
        <v>5.2767787135010957E-2</v>
      </c>
      <c r="BP206" s="147">
        <f t="shared" si="311"/>
        <v>51.24332905126964</v>
      </c>
      <c r="BQ206" s="463">
        <f t="shared" si="355"/>
        <v>5.9316980487299734E-2</v>
      </c>
      <c r="BT206" s="147">
        <f t="shared" si="312"/>
        <v>59.31698048729973</v>
      </c>
      <c r="BU206" s="463">
        <f t="shared" si="313"/>
        <v>2.9963620600576026E-2</v>
      </c>
      <c r="BV206" s="463">
        <f t="shared" si="314"/>
        <v>2.9640026815837332E-2</v>
      </c>
      <c r="BW206" s="463">
        <f t="shared" si="315"/>
        <v>0</v>
      </c>
      <c r="BX206" s="463"/>
      <c r="BY206" s="463">
        <f t="shared" si="316"/>
        <v>2.939909739285599E-2</v>
      </c>
      <c r="BZ206" s="147">
        <f t="shared" si="317"/>
        <v>89.002744809269345</v>
      </c>
      <c r="CA206" s="153">
        <f t="shared" si="318"/>
        <v>0.19956305434783872</v>
      </c>
      <c r="CB206" s="5">
        <f t="shared" si="319"/>
        <v>1.44</v>
      </c>
      <c r="CC206" s="153">
        <f t="shared" si="320"/>
        <v>0.87828278161145934</v>
      </c>
      <c r="CD206" s="5">
        <f t="shared" si="321"/>
        <v>87.828278161145931</v>
      </c>
      <c r="CG206" s="59">
        <f t="shared" si="356"/>
        <v>-50</v>
      </c>
      <c r="CH206">
        <f t="shared" si="357"/>
        <v>-50</v>
      </c>
    </row>
    <row r="207" spans="5:86" x14ac:dyDescent="0.25">
      <c r="E207" s="150">
        <v>97</v>
      </c>
      <c r="F207" s="191">
        <f t="shared" ref="F207:F210" si="378">IF(PLOT_TYPE=1, E207/100*Iout_max, min_I*EXP(N207*rr/100))</f>
        <v>9.7000000000000003E-2</v>
      </c>
      <c r="G207" s="191"/>
      <c r="H207" s="191">
        <f t="shared" si="367"/>
        <v>1.4550000000000001</v>
      </c>
      <c r="I207" s="472">
        <f t="shared" si="323"/>
        <v>13</v>
      </c>
      <c r="J207" s="386">
        <f t="shared" si="324"/>
        <v>15.32</v>
      </c>
      <c r="K207" s="386">
        <f t="shared" si="325"/>
        <v>28.32</v>
      </c>
      <c r="L207" s="386"/>
      <c r="M207" s="191">
        <f t="shared" si="326"/>
        <v>0.54096045197740117</v>
      </c>
      <c r="N207" s="152">
        <f t="shared" si="368"/>
        <v>2.3997235845654528</v>
      </c>
      <c r="O207" s="152">
        <f t="shared" si="363"/>
        <v>1.4550000000000001</v>
      </c>
      <c r="P207" s="191">
        <f t="shared" si="369"/>
        <v>0.15998157230436352</v>
      </c>
      <c r="Q207" s="191">
        <f t="shared" si="329"/>
        <v>15</v>
      </c>
      <c r="R207" s="191"/>
      <c r="S207" s="152">
        <f t="shared" si="330"/>
        <v>32.359256640124485</v>
      </c>
      <c r="T207" s="152">
        <f t="shared" si="370"/>
        <v>15</v>
      </c>
      <c r="U207" s="191">
        <f t="shared" si="332"/>
        <v>0.4597710383611166</v>
      </c>
      <c r="V207" s="191">
        <f t="shared" si="371"/>
        <v>1.6622491386901908</v>
      </c>
      <c r="W207" s="191">
        <f t="shared" si="334"/>
        <v>1.4105247260425902</v>
      </c>
      <c r="X207" s="175">
        <f t="shared" si="335"/>
        <v>350</v>
      </c>
      <c r="Y207" s="386">
        <f t="shared" si="303"/>
        <v>325.4388523273135</v>
      </c>
      <c r="AA207" s="191">
        <f t="shared" si="336"/>
        <v>0.42750674016451157</v>
      </c>
      <c r="AB207" s="153">
        <f t="shared" si="372"/>
        <v>1.3115415657788541</v>
      </c>
      <c r="AC207" s="153">
        <f t="shared" si="373"/>
        <v>9.8121250390866027E-2</v>
      </c>
      <c r="AD207" s="153"/>
      <c r="AE207" s="153">
        <f t="shared" si="339"/>
        <v>0.46018276762402083</v>
      </c>
      <c r="AF207" s="317">
        <f t="shared" si="374"/>
        <v>2810.4775413711591</v>
      </c>
      <c r="AG207" s="463">
        <f t="shared" si="341"/>
        <v>1.2079797650130546E-2</v>
      </c>
      <c r="AI207" s="153">
        <f t="shared" si="342"/>
        <v>0.42505712113903354</v>
      </c>
      <c r="AJ207" s="153">
        <f t="shared" si="375"/>
        <v>0.42505712113903354</v>
      </c>
      <c r="AK207" s="153">
        <f t="shared" si="376"/>
        <v>1.3833714140926889</v>
      </c>
      <c r="AM207" s="317">
        <f t="shared" si="345"/>
        <v>97</v>
      </c>
      <c r="AN207" s="147">
        <f t="shared" si="346"/>
        <v>325.4388523273135</v>
      </c>
      <c r="AP207">
        <f t="shared" si="347"/>
        <v>97</v>
      </c>
      <c r="AQ207">
        <f t="shared" si="348"/>
        <v>325.4388523273135</v>
      </c>
      <c r="AS207" s="5">
        <f t="shared" si="364"/>
        <v>3.0727738647327816</v>
      </c>
      <c r="AT207" s="5">
        <f t="shared" si="349"/>
        <v>1.5367449764257364</v>
      </c>
      <c r="AU207" s="5">
        <f t="shared" si="304"/>
        <v>1.5360288883070452</v>
      </c>
      <c r="AV207" s="5"/>
      <c r="AW207" s="153">
        <f t="shared" si="305"/>
        <v>0.50011652144775609</v>
      </c>
      <c r="AX207" s="153">
        <f t="shared" si="360"/>
        <v>1.3817575774642312</v>
      </c>
      <c r="AY207" s="153">
        <f t="shared" si="361"/>
        <v>0.1062395161491913</v>
      </c>
      <c r="AZ207" s="153">
        <f t="shared" si="365"/>
        <v>13.00606052764623</v>
      </c>
      <c r="BA207" s="147">
        <f t="shared" si="350"/>
        <v>3.4876336995076449</v>
      </c>
      <c r="BB207" s="147">
        <f t="shared" si="351"/>
        <v>16.90227052190928</v>
      </c>
      <c r="BC207" s="5">
        <f t="shared" si="359"/>
        <v>0.25469196951415962</v>
      </c>
      <c r="BD207" s="147">
        <f t="shared" si="352"/>
        <v>19.474974636638898</v>
      </c>
      <c r="BF207" s="153">
        <f t="shared" si="366"/>
        <v>0.17354906170863693</v>
      </c>
      <c r="BG207" s="153">
        <f t="shared" si="362"/>
        <v>0.1735086220443221</v>
      </c>
      <c r="BI207" s="463">
        <f t="shared" si="306"/>
        <v>1.0541746886981894E-2</v>
      </c>
      <c r="BJ207" s="463">
        <f t="shared" si="307"/>
        <v>1.9587542397468717E-2</v>
      </c>
      <c r="BK207" s="463">
        <f t="shared" si="308"/>
        <v>4.0679856540914178E-3</v>
      </c>
      <c r="BL207" s="463">
        <f t="shared" si="309"/>
        <v>1.3050462469839878E-2</v>
      </c>
      <c r="BM207">
        <f t="shared" si="310"/>
        <v>3.7699999999999999E-3</v>
      </c>
      <c r="BN207">
        <f t="shared" si="353"/>
        <v>6.5087770465462704E-6</v>
      </c>
      <c r="BO207" s="463">
        <f t="shared" si="377"/>
        <v>5.2549588458140783E-2</v>
      </c>
      <c r="BP207" s="147">
        <f t="shared" si="311"/>
        <v>51.017737408381912</v>
      </c>
      <c r="BQ207" s="463">
        <f t="shared" si="355"/>
        <v>6.0054404829721637E-2</v>
      </c>
      <c r="BT207" s="147">
        <f t="shared" si="312"/>
        <v>60.054404829721641</v>
      </c>
      <c r="BU207" s="463">
        <f t="shared" si="313"/>
        <v>3.0119276819948269E-2</v>
      </c>
      <c r="BV207" s="463">
        <f t="shared" si="314"/>
        <v>3.0105241923719418E-2</v>
      </c>
      <c r="BW207" s="463">
        <f t="shared" si="315"/>
        <v>0</v>
      </c>
      <c r="BX207" s="463"/>
      <c r="BY207" s="463">
        <f t="shared" si="316"/>
        <v>2.9399097392855986E-2</v>
      </c>
      <c r="BZ207" s="147">
        <f t="shared" si="317"/>
        <v>89.623616136523665</v>
      </c>
      <c r="CA207" s="153">
        <f t="shared" si="318"/>
        <v>0.20069575837462722</v>
      </c>
      <c r="CB207" s="5">
        <f t="shared" si="319"/>
        <v>1.4550000000000001</v>
      </c>
      <c r="CC207" s="153">
        <f t="shared" si="320"/>
        <v>0.87878463941246832</v>
      </c>
      <c r="CD207" s="5">
        <f t="shared" si="321"/>
        <v>87.878463941246835</v>
      </c>
      <c r="CG207" s="59">
        <f t="shared" si="356"/>
        <v>-50</v>
      </c>
      <c r="CH207">
        <f t="shared" si="357"/>
        <v>-50</v>
      </c>
    </row>
    <row r="208" spans="5:86" x14ac:dyDescent="0.25">
      <c r="E208" s="150">
        <v>98</v>
      </c>
      <c r="F208" s="191">
        <f t="shared" si="378"/>
        <v>9.8000000000000004E-2</v>
      </c>
      <c r="G208" s="191"/>
      <c r="H208" s="191">
        <f t="shared" si="367"/>
        <v>1.47</v>
      </c>
      <c r="I208" s="472">
        <f t="shared" si="323"/>
        <v>13</v>
      </c>
      <c r="J208" s="386">
        <f t="shared" si="324"/>
        <v>15.32</v>
      </c>
      <c r="K208" s="386">
        <f t="shared" si="325"/>
        <v>28.32</v>
      </c>
      <c r="L208" s="386"/>
      <c r="M208" s="191">
        <f t="shared" si="326"/>
        <v>0.54096045197740117</v>
      </c>
      <c r="N208" s="152">
        <f t="shared" si="368"/>
        <v>2.3997235845654528</v>
      </c>
      <c r="O208" s="152">
        <f t="shared" si="363"/>
        <v>1.47</v>
      </c>
      <c r="P208" s="191">
        <f t="shared" si="369"/>
        <v>0.15998157230436352</v>
      </c>
      <c r="Q208" s="191">
        <f t="shared" si="329"/>
        <v>15</v>
      </c>
      <c r="R208" s="191"/>
      <c r="S208" s="152">
        <f t="shared" si="330"/>
        <v>31.899522429595297</v>
      </c>
      <c r="T208" s="152">
        <f t="shared" si="370"/>
        <v>15</v>
      </c>
      <c r="U208" s="191">
        <f t="shared" si="332"/>
        <v>0.46451094597308684</v>
      </c>
      <c r="V208" s="191">
        <f t="shared" si="371"/>
        <v>1.6793857277488522</v>
      </c>
      <c r="W208" s="191">
        <f t="shared" si="334"/>
        <v>1.4250662180636475</v>
      </c>
      <c r="X208" s="175">
        <f t="shared" si="335"/>
        <v>350</v>
      </c>
      <c r="Y208" s="386">
        <f t="shared" si="303"/>
        <v>322.11804771172882</v>
      </c>
      <c r="AA208" s="191">
        <f t="shared" si="336"/>
        <v>0.42750674016451157</v>
      </c>
      <c r="AB208" s="153">
        <f t="shared" si="372"/>
        <v>1.3115415657788541</v>
      </c>
      <c r="AC208" s="153">
        <f t="shared" si="373"/>
        <v>9.8121250390866027E-2</v>
      </c>
      <c r="AD208" s="153"/>
      <c r="AE208" s="153">
        <f t="shared" si="339"/>
        <v>0.46018276762402083</v>
      </c>
      <c r="AF208" s="317">
        <f t="shared" si="374"/>
        <v>2839.4515366430269</v>
      </c>
      <c r="AG208" s="463">
        <f t="shared" si="341"/>
        <v>1.2079797650130546E-2</v>
      </c>
      <c r="AI208" s="153">
        <f t="shared" si="342"/>
        <v>0.42724251920047229</v>
      </c>
      <c r="AJ208" s="153">
        <f t="shared" si="375"/>
        <v>0.42724251920047229</v>
      </c>
      <c r="AK208" s="153">
        <f t="shared" si="376"/>
        <v>1.3848283461336481</v>
      </c>
      <c r="AM208" s="317">
        <f t="shared" si="345"/>
        <v>98</v>
      </c>
      <c r="AN208" s="147">
        <f t="shared" si="346"/>
        <v>322.11804771172882</v>
      </c>
      <c r="AP208">
        <f t="shared" si="347"/>
        <v>98</v>
      </c>
      <c r="AQ208">
        <f t="shared" si="348"/>
        <v>322.11804771172882</v>
      </c>
      <c r="AS208" s="5">
        <f t="shared" si="364"/>
        <v>3.1044519458124995</v>
      </c>
      <c r="AT208" s="5">
        <f t="shared" si="349"/>
        <v>1.5446460309555534</v>
      </c>
      <c r="AU208" s="5">
        <f t="shared" si="304"/>
        <v>1.5598059148569461</v>
      </c>
      <c r="AV208" s="5"/>
      <c r="AW208" s="153">
        <f t="shared" si="305"/>
        <v>0.49755836389707347</v>
      </c>
      <c r="AX208" s="153">
        <f t="shared" si="360"/>
        <v>1.3817575774642317</v>
      </c>
      <c r="AY208" s="153">
        <f t="shared" si="361"/>
        <v>0.10733221517991064</v>
      </c>
      <c r="AZ208" s="153">
        <f t="shared" si="365"/>
        <v>12.873651914740833</v>
      </c>
      <c r="BA208" s="147">
        <f t="shared" si="350"/>
        <v>3.4876336995076449</v>
      </c>
      <c r="BB208" s="147">
        <f t="shared" si="351"/>
        <v>17.249536411140046</v>
      </c>
      <c r="BC208" s="5">
        <f t="shared" si="359"/>
        <v>0.26130081992475335</v>
      </c>
      <c r="BD208" s="147">
        <f t="shared" si="352"/>
        <v>19.974484571279579</v>
      </c>
      <c r="BF208" s="153">
        <f t="shared" si="366"/>
        <v>0.17399463421142383</v>
      </c>
      <c r="BG208" s="153">
        <f t="shared" si="362"/>
        <v>0.17484638210885234</v>
      </c>
      <c r="BI208" s="463">
        <f t="shared" si="306"/>
        <v>1.0595946457028512E-2</v>
      </c>
      <c r="BJ208" s="463">
        <f t="shared" si="307"/>
        <v>1.9487349707696451E-2</v>
      </c>
      <c r="BK208" s="463">
        <f t="shared" si="308"/>
        <v>4.0264755963966099E-3</v>
      </c>
      <c r="BL208" s="463">
        <f t="shared" si="309"/>
        <v>1.2917294485453763E-2</v>
      </c>
      <c r="BM208">
        <f t="shared" si="310"/>
        <v>3.7699999999999999E-3</v>
      </c>
      <c r="BN208">
        <f t="shared" si="353"/>
        <v>6.4423609542345764E-6</v>
      </c>
      <c r="BO208" s="463">
        <f t="shared" si="377"/>
        <v>5.2336276293590667E-2</v>
      </c>
      <c r="BP208" s="147">
        <f t="shared" si="311"/>
        <v>50.797066246575341</v>
      </c>
      <c r="BQ208" s="463">
        <f t="shared" si="355"/>
        <v>6.0792440605127868E-2</v>
      </c>
      <c r="BT208" s="147">
        <f t="shared" si="312"/>
        <v>60.792440605127865</v>
      </c>
      <c r="BU208" s="463">
        <f t="shared" si="313"/>
        <v>3.027413273436718E-2</v>
      </c>
      <c r="BV208" s="463">
        <f t="shared" si="314"/>
        <v>3.0571257336554799E-2</v>
      </c>
      <c r="BW208" s="463">
        <f t="shared" si="315"/>
        <v>0</v>
      </c>
      <c r="BX208" s="463"/>
      <c r="BY208" s="463">
        <f t="shared" si="316"/>
        <v>2.9399097392856E-2</v>
      </c>
      <c r="BZ208" s="147">
        <f t="shared" si="317"/>
        <v>90.244487463777972</v>
      </c>
      <c r="CA208" s="153">
        <f t="shared" si="318"/>
        <v>0.20183399431548121</v>
      </c>
      <c r="CB208" s="5">
        <f t="shared" si="319"/>
        <v>1.47</v>
      </c>
      <c r="CC208" s="153">
        <f t="shared" si="320"/>
        <v>0.87927390219259149</v>
      </c>
      <c r="CD208" s="5">
        <f t="shared" si="321"/>
        <v>87.927390219259152</v>
      </c>
      <c r="CG208" s="59">
        <f t="shared" si="356"/>
        <v>-50</v>
      </c>
      <c r="CH208">
        <f t="shared" si="357"/>
        <v>-50</v>
      </c>
    </row>
    <row r="209" spans="5:88" x14ac:dyDescent="0.25">
      <c r="E209" s="150">
        <v>99</v>
      </c>
      <c r="F209" s="191">
        <f t="shared" si="378"/>
        <v>9.9000000000000005E-2</v>
      </c>
      <c r="G209" s="191"/>
      <c r="H209" s="191">
        <f t="shared" si="367"/>
        <v>1.4850000000000001</v>
      </c>
      <c r="I209" s="472">
        <f t="shared" si="323"/>
        <v>13</v>
      </c>
      <c r="J209" s="386">
        <f t="shared" si="324"/>
        <v>15.32</v>
      </c>
      <c r="K209" s="386">
        <f t="shared" si="325"/>
        <v>28.32</v>
      </c>
      <c r="L209" s="386"/>
      <c r="M209" s="191">
        <f t="shared" si="326"/>
        <v>0.54096045197740117</v>
      </c>
      <c r="N209" s="152">
        <f t="shared" si="368"/>
        <v>2.3997235845654528</v>
      </c>
      <c r="O209" s="152">
        <f t="shared" si="363"/>
        <v>1.4850000000000001</v>
      </c>
      <c r="P209" s="191">
        <f t="shared" si="369"/>
        <v>0.15998157230436352</v>
      </c>
      <c r="Q209" s="191">
        <f t="shared" si="329"/>
        <v>15</v>
      </c>
      <c r="R209" s="191"/>
      <c r="S209" s="152">
        <f t="shared" si="330"/>
        <v>31.449126557642998</v>
      </c>
      <c r="T209" s="152">
        <f t="shared" si="370"/>
        <v>15</v>
      </c>
      <c r="U209" s="191">
        <f t="shared" si="332"/>
        <v>0.46925085358505719</v>
      </c>
      <c r="V209" s="191">
        <f t="shared" si="371"/>
        <v>1.6965223168075145</v>
      </c>
      <c r="W209" s="191">
        <f t="shared" si="334"/>
        <v>1.4396077100847053</v>
      </c>
      <c r="X209" s="175">
        <f t="shared" si="335"/>
        <v>350</v>
      </c>
      <c r="Y209" s="386">
        <f t="shared" si="303"/>
        <v>318.86433005807493</v>
      </c>
      <c r="AA209" s="191">
        <f t="shared" si="336"/>
        <v>0.42750674016451157</v>
      </c>
      <c r="AB209" s="153">
        <f t="shared" si="372"/>
        <v>1.3115415657788541</v>
      </c>
      <c r="AC209" s="153">
        <f t="shared" si="373"/>
        <v>9.8121250390866027E-2</v>
      </c>
      <c r="AD209" s="153"/>
      <c r="AE209" s="153">
        <f t="shared" si="339"/>
        <v>0.46018276762402083</v>
      </c>
      <c r="AF209" s="317">
        <f t="shared" si="374"/>
        <v>2868.4255319148947</v>
      </c>
      <c r="AG209" s="463">
        <f t="shared" si="341"/>
        <v>1.2079797650130546E-2</v>
      </c>
      <c r="AI209" s="153">
        <f t="shared" si="342"/>
        <v>0.42941679542669131</v>
      </c>
      <c r="AJ209" s="153">
        <f t="shared" si="375"/>
        <v>0.46925085358505719</v>
      </c>
      <c r="AK209" s="153">
        <f t="shared" si="376"/>
        <v>1.4128339023900383</v>
      </c>
      <c r="AM209" s="317">
        <f t="shared" si="345"/>
        <v>99</v>
      </c>
      <c r="AN209" s="147">
        <f t="shared" si="346"/>
        <v>318.86433005807493</v>
      </c>
      <c r="AP209">
        <f t="shared" si="347"/>
        <v>99</v>
      </c>
      <c r="AQ209">
        <f t="shared" si="348"/>
        <v>318.86433005807493</v>
      </c>
      <c r="AS209" s="5">
        <f t="shared" si="364"/>
        <v>3.1361300268922192</v>
      </c>
      <c r="AT209" s="5">
        <f t="shared" si="349"/>
        <v>1.6965223168075145</v>
      </c>
      <c r="AU209" s="5">
        <f t="shared" si="304"/>
        <v>1.4396077100847047</v>
      </c>
      <c r="AV209" s="5"/>
      <c r="AW209" s="153">
        <f t="shared" si="305"/>
        <v>0.54096045197740128</v>
      </c>
      <c r="AX209" s="153">
        <f t="shared" si="360"/>
        <v>1.6500000000000001</v>
      </c>
      <c r="AY209" s="153">
        <f t="shared" si="361"/>
        <v>0.10770234986945165</v>
      </c>
      <c r="AZ209" s="153">
        <f t="shared" si="365"/>
        <v>15.320000000000007</v>
      </c>
      <c r="BA209" s="147">
        <f t="shared" si="350"/>
        <v>3.4876336995076449</v>
      </c>
      <c r="BB209" s="147">
        <f t="shared" si="351"/>
        <v>17.600333232568055</v>
      </c>
      <c r="BC209" s="5">
        <f t="shared" si="359"/>
        <v>0.24362592016818083</v>
      </c>
      <c r="BD209" s="147">
        <f t="shared" si="352"/>
        <v>18.652713243382788</v>
      </c>
      <c r="BF209" s="153">
        <f t="shared" si="366"/>
        <v>0.1992632466291693</v>
      </c>
      <c r="BG209" s="153">
        <f t="shared" si="362"/>
        <v>0.18355638481468789</v>
      </c>
      <c r="BI209" s="463">
        <f t="shared" si="306"/>
        <v>1.3897044510019003E-2</v>
      </c>
      <c r="BJ209" s="463">
        <f t="shared" si="307"/>
        <v>2.1187234042553193E-2</v>
      </c>
      <c r="BK209" s="463">
        <f t="shared" si="308"/>
        <v>3.9858041257259365E-3</v>
      </c>
      <c r="BL209" s="463">
        <f t="shared" si="309"/>
        <v>1.2786816763378471E-2</v>
      </c>
      <c r="BM209">
        <f t="shared" si="310"/>
        <v>3.7699999999999999E-3</v>
      </c>
      <c r="BN209">
        <f t="shared" si="353"/>
        <v>6.3772866011614986E-6</v>
      </c>
      <c r="BO209" s="463">
        <f t="shared" si="377"/>
        <v>5.7657211098072245E-2</v>
      </c>
      <c r="BP209" s="147">
        <f t="shared" si="311"/>
        <v>55.626899441676606</v>
      </c>
      <c r="BQ209" s="463">
        <f t="shared" si="355"/>
        <v>6.3559411054365675E-2</v>
      </c>
      <c r="BT209" s="147">
        <f t="shared" si="312"/>
        <v>63.559411054365675</v>
      </c>
      <c r="BU209" s="463">
        <f t="shared" si="313"/>
        <v>3.9705841457197154E-2</v>
      </c>
      <c r="BV209" s="463">
        <f t="shared" si="314"/>
        <v>3.3692946406237781E-2</v>
      </c>
      <c r="BW209" s="463">
        <f t="shared" si="315"/>
        <v>0</v>
      </c>
      <c r="BX209" s="463"/>
      <c r="BY209" s="463">
        <f t="shared" si="316"/>
        <v>3.5106382978723413E-2</v>
      </c>
      <c r="BZ209" s="147">
        <f t="shared" si="317"/>
        <v>108.50517084215834</v>
      </c>
      <c r="CA209" s="153">
        <f t="shared" si="318"/>
        <v>0.22769148133820066</v>
      </c>
      <c r="CB209" s="5">
        <f t="shared" si="319"/>
        <v>1.4850000000000001</v>
      </c>
      <c r="CC209" s="153">
        <f t="shared" si="320"/>
        <v>0.86705633570367535</v>
      </c>
      <c r="CD209" s="5">
        <f t="shared" si="321"/>
        <v>86.705633570367539</v>
      </c>
      <c r="CG209" s="59">
        <f t="shared" si="356"/>
        <v>-50</v>
      </c>
      <c r="CH209">
        <f t="shared" si="357"/>
        <v>-50</v>
      </c>
    </row>
    <row r="210" spans="5:88" x14ac:dyDescent="0.25">
      <c r="E210" s="150">
        <v>100</v>
      </c>
      <c r="F210" s="191">
        <f t="shared" si="378"/>
        <v>0.1</v>
      </c>
      <c r="G210" s="191"/>
      <c r="H210" s="191">
        <f t="shared" si="367"/>
        <v>1.5</v>
      </c>
      <c r="I210" s="472">
        <f t="shared" si="323"/>
        <v>13</v>
      </c>
      <c r="J210" s="386">
        <f t="shared" si="324"/>
        <v>15.32</v>
      </c>
      <c r="K210" s="386">
        <f t="shared" si="325"/>
        <v>28.32</v>
      </c>
      <c r="L210" s="386"/>
      <c r="M210" s="191">
        <f t="shared" si="326"/>
        <v>0.54096045197740117</v>
      </c>
      <c r="N210" s="152">
        <f t="shared" si="368"/>
        <v>2.3997235845654528</v>
      </c>
      <c r="O210" s="152">
        <f t="shared" si="363"/>
        <v>1.5</v>
      </c>
      <c r="P210" s="191">
        <f t="shared" si="369"/>
        <v>0.15998157230436352</v>
      </c>
      <c r="Q210" s="191">
        <f t="shared" si="329"/>
        <v>15</v>
      </c>
      <c r="R210" s="191"/>
      <c r="S210" s="152">
        <f t="shared" si="330"/>
        <v>31.007789452200168</v>
      </c>
      <c r="T210" s="152">
        <f t="shared" si="370"/>
        <v>15</v>
      </c>
      <c r="U210" s="191">
        <f t="shared" si="332"/>
        <v>0.47399076119702743</v>
      </c>
      <c r="V210" s="191">
        <f t="shared" si="371"/>
        <v>1.713658905866176</v>
      </c>
      <c r="W210" s="191">
        <f t="shared" si="334"/>
        <v>1.4541492021057627</v>
      </c>
      <c r="X210" s="175">
        <f t="shared" si="335"/>
        <v>350</v>
      </c>
      <c r="Y210" s="386">
        <f t="shared" si="303"/>
        <v>315.67568675749413</v>
      </c>
      <c r="AA210" s="191">
        <f t="shared" si="336"/>
        <v>0.42750674016451157</v>
      </c>
      <c r="AB210" s="153">
        <f t="shared" si="372"/>
        <v>1.3115415657788541</v>
      </c>
      <c r="AC210" s="153">
        <f t="shared" si="373"/>
        <v>9.8121250390866027E-2</v>
      </c>
      <c r="AD210" s="153"/>
      <c r="AE210" s="153">
        <f t="shared" si="339"/>
        <v>0.46018276762402083</v>
      </c>
      <c r="AF210" s="317">
        <f t="shared" si="374"/>
        <v>2897.399527186762</v>
      </c>
      <c r="AG210" s="463">
        <f t="shared" si="341"/>
        <v>1.2079797650130546E-2</v>
      </c>
      <c r="AI210" s="153">
        <f t="shared" si="342"/>
        <v>0.43158011791125384</v>
      </c>
      <c r="AJ210" s="153">
        <f t="shared" si="375"/>
        <v>0.47399076119702743</v>
      </c>
      <c r="AK210" s="153">
        <f t="shared" si="376"/>
        <v>1.4159938407980182</v>
      </c>
      <c r="AM210" s="317">
        <f t="shared" si="345"/>
        <v>100</v>
      </c>
      <c r="AN210" s="147">
        <f t="shared" si="346"/>
        <v>315.67568675749413</v>
      </c>
      <c r="AP210">
        <f t="shared" si="347"/>
        <v>100</v>
      </c>
      <c r="AQ210">
        <f t="shared" si="348"/>
        <v>315.67568675749413</v>
      </c>
      <c r="AS210" s="5">
        <f t="shared" si="364"/>
        <v>3.1678081079719389</v>
      </c>
      <c r="AT210" s="5">
        <f t="shared" si="349"/>
        <v>1.713658905866176</v>
      </c>
      <c r="AU210" s="5">
        <f t="shared" si="304"/>
        <v>1.4541492021057629</v>
      </c>
      <c r="AV210" s="5"/>
      <c r="AW210" s="153">
        <f t="shared" si="305"/>
        <v>0.54096045197740117</v>
      </c>
      <c r="AX210" s="153">
        <f t="shared" si="360"/>
        <v>1.6666666666666661</v>
      </c>
      <c r="AY210" s="153">
        <f t="shared" si="361"/>
        <v>0.10879025239338552</v>
      </c>
      <c r="AZ210" s="153">
        <f t="shared" si="365"/>
        <v>15.319999999999999</v>
      </c>
      <c r="BA210" s="147">
        <f t="shared" si="350"/>
        <v>3.4876336995076449</v>
      </c>
      <c r="BB210" s="147">
        <f t="shared" si="351"/>
        <v>17.954660986193304</v>
      </c>
      <c r="BC210" s="5">
        <f t="shared" si="359"/>
        <v>0.24857251318047227</v>
      </c>
      <c r="BD210" s="147">
        <f t="shared" si="352"/>
        <v>19.027553873150811</v>
      </c>
      <c r="BF210" s="153">
        <f t="shared" si="366"/>
        <v>0.2012760066961306</v>
      </c>
      <c r="BG210" s="153">
        <f t="shared" si="362"/>
        <v>0.18541048971180593</v>
      </c>
      <c r="BI210" s="463">
        <f t="shared" si="306"/>
        <v>1.4179210805039283E-2</v>
      </c>
      <c r="BJ210" s="463">
        <f t="shared" si="307"/>
        <v>2.1187234042553189E-2</v>
      </c>
      <c r="BK210" s="463">
        <f t="shared" si="308"/>
        <v>3.9459460844686765E-3</v>
      </c>
      <c r="BL210" s="463">
        <f t="shared" si="309"/>
        <v>1.2658948595744684E-2</v>
      </c>
      <c r="BM210">
        <f t="shared" si="310"/>
        <v>3.7699999999999999E-3</v>
      </c>
      <c r="BN210">
        <f t="shared" si="353"/>
        <v>6.3135137351498826E-6</v>
      </c>
      <c r="BO210" s="463">
        <f t="shared" si="377"/>
        <v>5.7813089264526177E-2</v>
      </c>
      <c r="BP210" s="147">
        <f t="shared" si="311"/>
        <v>55.741339527805835</v>
      </c>
      <c r="BQ210" s="463">
        <f t="shared" si="355"/>
        <v>6.4464065967111184E-2</v>
      </c>
      <c r="BT210" s="147">
        <f t="shared" si="312"/>
        <v>64.464065967111182</v>
      </c>
      <c r="BU210" s="463">
        <f t="shared" si="313"/>
        <v>4.0512030871540809E-2</v>
      </c>
      <c r="BV210" s="463">
        <f t="shared" si="314"/>
        <v>3.4377049695171691E-2</v>
      </c>
      <c r="BW210" s="463">
        <f t="shared" si="315"/>
        <v>0</v>
      </c>
      <c r="BX210" s="463"/>
      <c r="BY210" s="463">
        <f t="shared" si="316"/>
        <v>3.5460992907801421E-2</v>
      </c>
      <c r="BZ210" s="147">
        <f t="shared" si="317"/>
        <v>110.35007347451392</v>
      </c>
      <c r="CA210" s="153">
        <f t="shared" si="318"/>
        <v>0.23055547896943093</v>
      </c>
      <c r="CB210" s="5">
        <f t="shared" si="319"/>
        <v>1.5</v>
      </c>
      <c r="CC210" s="153">
        <f t="shared" si="320"/>
        <v>0.86677371412170512</v>
      </c>
      <c r="CD210" s="5">
        <f t="shared" si="321"/>
        <v>86.677371412170515</v>
      </c>
      <c r="CG210" s="59">
        <f t="shared" si="356"/>
        <v>-50</v>
      </c>
      <c r="CH210">
        <f t="shared" si="357"/>
        <v>-50</v>
      </c>
    </row>
    <row r="211" spans="5:88" x14ac:dyDescent="0.25">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5">
      <c r="E212" s="150">
        <v>101</v>
      </c>
      <c r="F212" s="191">
        <f>Ioutmax_Vinmin</f>
        <v>0.15998157230436352</v>
      </c>
      <c r="H212" s="191">
        <f t="shared" ref="H212" si="379">F212*Vout</f>
        <v>2.3997235845654528</v>
      </c>
      <c r="I212" s="472">
        <f t="shared" si="323"/>
        <v>13</v>
      </c>
      <c r="J212" s="386">
        <f t="shared" ref="J212" si="380">(T212+Vfwd1)*Nps</f>
        <v>15.021961509129222</v>
      </c>
      <c r="K212" s="386">
        <f t="shared" ref="K212" si="381">(Vout+Vfwd1)*Nps+I212</f>
        <v>28.32</v>
      </c>
      <c r="L212" s="386"/>
      <c r="M212" s="191">
        <f t="shared" ref="M212" si="382">(Vout+Vfwd1)*Nps/((Vout+Vfwd1)*Nps+I212)</f>
        <v>0.54096045197740117</v>
      </c>
      <c r="N212" s="152">
        <f>M212*I212*(Isw_max+VIN_min/Lmag*ILIM_delay)*0.5*Efficiency</f>
        <v>2.3997235845654528</v>
      </c>
      <c r="O212" s="152">
        <f t="shared" ref="O212" si="383">T212*F212</f>
        <v>2.3520429181887259</v>
      </c>
      <c r="P212" s="191">
        <f t="shared" ref="P212" si="384">N212/Vout</f>
        <v>0.15998157230436352</v>
      </c>
      <c r="Q212" s="191">
        <f t="shared" ref="Q212" si="385">MIN(Vout,N212/F212)</f>
        <v>15</v>
      </c>
      <c r="R212" s="191"/>
      <c r="S212" s="152">
        <f t="shared" ref="S212" si="386">(SQRT(Isw_max^2*Nps^2*I212^2+4*Isw_max*F212/Efficiency*(Nps^2*Vfwd1*I212-Nps*I212^2)+4*(F212/Efficiency)^2*Nps^2*Vfwd1^2+8*(F212/Efficiency)^2*Nps*Vfwd1*I212+4*(F212/Efficiency)^2*I212^2)-2*F212/Efficiency*I212-2*F212/Efficiency*Nps*Vfwd1+Isw_max*Nps*I212)/(4*F212/Efficiency*Nps)</f>
        <v>14.701961509129221</v>
      </c>
      <c r="T212" s="152">
        <f t="shared" ref="T212" si="387">MIN(Vout, S212)</f>
        <v>14.701961509129221</v>
      </c>
      <c r="U212" s="191">
        <f>MIN(2*Vout*F212/(Efficiency*I212*M212), Isw_max)</f>
        <v>0.75</v>
      </c>
      <c r="V212" s="191">
        <f t="shared" ref="V212" si="388">L*U212/I212*1000000</f>
        <v>2.7115384615384612</v>
      </c>
      <c r="W212" s="191">
        <f t="shared" ref="W212" si="389">L*U212/J212*1000000</f>
        <v>2.3465643936431131</v>
      </c>
      <c r="X212" s="175">
        <f t="shared" ref="X212" si="390">IF(1/((350000*L)*(1/I212+1/J212))&gt;Isw_min, 350, 0.001/((Isw_min*L)*(1/I212+1/J212)))</f>
        <v>350</v>
      </c>
      <c r="Y212" s="386">
        <f t="shared" ref="Y212" si="391">MIN(1/(V212+W212)*1000, 350)</f>
        <v>197.70258308914958</v>
      </c>
      <c r="AA212" s="191">
        <f t="shared" ref="AA212" si="392">1/((X212*1000*L)*(1/I212+1/J212))</f>
        <v>0.42364839233389201</v>
      </c>
      <c r="AB212" s="153">
        <f t="shared" ref="AB212" si="393">L*AA212/J212*1000000</f>
        <v>1.3254909771664787</v>
      </c>
      <c r="AC212" s="153">
        <f t="shared" ref="AC212" si="394">0.5*AB212*AA212*Nps*X212/1000</f>
        <v>9.8269871267690198E-2</v>
      </c>
      <c r="AD212" s="153"/>
      <c r="AE212" s="153">
        <f t="shared" ref="AE212" si="395">L*Isw_min/J212*1000000</f>
        <v>0.46931287872862265</v>
      </c>
      <c r="AF212" s="317">
        <f>MAX(12000,F212/(0.5*AE212/1000000*Isw_min*Nps))/1000</f>
        <v>4545.1291183472767</v>
      </c>
      <c r="AG212" s="463">
        <f t="shared" ref="AG212" si="396">0.5*AE212/1000000*Isw_min*Nps*X212*1000</f>
        <v>1.2319463066626343E-2</v>
      </c>
      <c r="AI212" s="153">
        <f t="shared" ref="AI212" si="397">SQRT(F212/(0.5*L/J212*Fsw_DCM*Nps))</f>
        <v>0.54054312676580529</v>
      </c>
      <c r="AJ212" s="153">
        <f t="shared" ref="AJ212" si="398">MAX(IF(F212&gt;AC212,U212,AI212),Isw_min)</f>
        <v>0.75</v>
      </c>
      <c r="AK212" s="153">
        <f t="shared" ref="AK212" si="399">IF(F212&gt;AG212, (AJ212-Isw_min)/1.08*0.8+1.2, AF212*0.2/350+1)</f>
        <v>1.6444444444444444</v>
      </c>
      <c r="AM212" s="317">
        <f t="shared" ref="AM212" si="400">F212*1000</f>
        <v>159.98157230436351</v>
      </c>
      <c r="AN212" s="147">
        <f t="shared" ref="AN212" si="401">IF(F212&gt;AG212, Y212, AF212)</f>
        <v>197.70258308914958</v>
      </c>
      <c r="AS212" s="5">
        <f t="shared" ref="AS212" si="402">1/AN212*1000</f>
        <v>5.0581028551815752</v>
      </c>
      <c r="AT212" s="5">
        <f t="shared" ref="AT212" si="403">L*AJ212/I212*1000000</f>
        <v>2.7115384615384612</v>
      </c>
      <c r="AU212" s="5">
        <f t="shared" si="304"/>
        <v>2.346564393643114</v>
      </c>
      <c r="AV212" s="5"/>
      <c r="AW212" s="153"/>
      <c r="AX212" s="153"/>
      <c r="BA212" s="147">
        <f>L*Isw_max^2/(2*Vout_ripple*Vout)*1000000000*((1+M212)/2)^2</f>
        <v>3.4876336995076449</v>
      </c>
      <c r="BB212" s="147">
        <f>L*F212^2/(2*Cout*Vout*Nps^2)*1000000000*((1+M212)/(1-M212))^2+F212*RCoutEsr</f>
        <v>45.665466730069845</v>
      </c>
      <c r="BC212" s="5">
        <f t="shared" si="359"/>
        <v>0.64172147215121511</v>
      </c>
      <c r="BD212" s="147">
        <f>((CB212/I212/Efficiency)*AU212/Cin+(CB212/I212/Efficiency)*RCinEsr)*1000</f>
        <v>47.775909843485202</v>
      </c>
      <c r="BQ212" s="463">
        <f>(Vfwd2*F212+BG212^2*Rdiode)*(1+Diode_TC/1000*(Ta-25))</f>
        <v>6.1112960620266867E-2</v>
      </c>
      <c r="CB212" s="5">
        <f t="shared" si="319"/>
        <v>2.3520429181887259</v>
      </c>
      <c r="CG212" s="59"/>
    </row>
    <row r="213" spans="5:88" x14ac:dyDescent="0.25">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5">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3">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5">
      <c r="E216" s="150">
        <v>0.1</v>
      </c>
      <c r="F216" s="191">
        <v>1.0000000000000001E-9</v>
      </c>
      <c r="G216" s="191"/>
      <c r="H216" s="191">
        <f t="shared" ref="H216:H247" si="404">F216*Vout</f>
        <v>1.5000000000000002E-8</v>
      </c>
      <c r="I216" s="472">
        <f t="shared" ref="I216:I247" si="405">VIN_max</f>
        <v>26</v>
      </c>
      <c r="J216" s="386">
        <f t="shared" ref="J216:J247" si="406">(T216+Vfwd1)*Nps</f>
        <v>15.32</v>
      </c>
      <c r="K216" s="386">
        <f t="shared" ref="K216:K247" si="407">(Vout+Vfwd1)*Nps+I216</f>
        <v>41.32</v>
      </c>
      <c r="L216" s="386"/>
      <c r="M216" s="191">
        <f t="shared" ref="M216:M247" si="408">(Vout+Vfwd1)*Nps/((Vout+Vfwd1)*Nps+I216)</f>
        <v>0.37076476282671827</v>
      </c>
      <c r="N216" s="152">
        <f t="shared" ref="N216:N247" si="409">M216*I216*(Isw_max+VIN_max/Lmag*ILIM_delay)*0.5*Efficiency</f>
        <v>3.3254522666886368</v>
      </c>
      <c r="O216" s="152">
        <f t="shared" si="363"/>
        <v>1.5000000000000002E-8</v>
      </c>
      <c r="P216" s="191">
        <f t="shared" ref="P216:P247" si="410">N216/Vout</f>
        <v>0.22169681777924247</v>
      </c>
      <c r="Q216" s="191">
        <f t="shared" ref="Q216:Q247" si="411">MIN(Vout,N216/F216)</f>
        <v>15</v>
      </c>
      <c r="R216" s="191"/>
      <c r="S216" s="152">
        <f t="shared" ref="S216:S247" si="412">(SQRT(Isw_max^2*Nps^2*I216^2+4*Isw_max*F216/Efficiency*(Nps^2*Vfwd1*I216-Nps*I216^2)+4*(F216/Efficiency)^2*Nps^2*Vfwd1^2+8*(F216/Efficiency)^2*Nps*Vfwd1*I216+4*(F216/Efficiency)^2*I216^2)-2*F216/Efficiency*I216-2*F216/Efficiency*Nps*Vfwd1+Isw_max*Nps*I216)/(4*F216/Efficiency*Nps)</f>
        <v>8774999974</v>
      </c>
      <c r="T216" s="152">
        <f t="shared" ref="T216:T247" si="413">MIN(Vout, S216)</f>
        <v>15</v>
      </c>
      <c r="U216" s="191">
        <f t="shared" ref="U216:U247" si="414">MIN(2*Vout*F216/(Efficiency*I216*M216), Isw_max)</f>
        <v>3.4578563299189932E-9</v>
      </c>
      <c r="V216" s="191">
        <f t="shared" ref="V216:V247" si="415">L*U216/I216*1000000</f>
        <v>6.2507402886997185E-9</v>
      </c>
      <c r="W216" s="191">
        <f t="shared" ref="W216:W247" si="416">L*U216/J216*1000000</f>
        <v>1.0608305972989079E-8</v>
      </c>
      <c r="X216" s="175">
        <f t="shared" ref="X216:X247" si="417">IF(1/((350000*L)*(1/I216+1/J216))&gt;Isw_min, 350, 0.001/((Isw_min*L)*(1/I216+1/J216)))</f>
        <v>350</v>
      </c>
      <c r="Y216" s="386">
        <f t="shared" ref="Y216:Y275" si="418">MIN(1/(V216+W216)*1000, 350)</f>
        <v>350</v>
      </c>
      <c r="AA216" s="191">
        <f t="shared" ref="AA216:AA247" si="419">1/((X216*1000*L)*(1/I216+1/J216))</f>
        <v>0.58601117528843016</v>
      </c>
      <c r="AB216" s="153">
        <f t="shared" ref="AB216:AB247" si="420">L*AA216/J216*1000000</f>
        <v>1.7978149633522333</v>
      </c>
      <c r="AC216" s="153">
        <f t="shared" ref="AC216:AC247" si="421">0.5*AB216*AA216*Nps*X216/1000</f>
        <v>0.18436944043440445</v>
      </c>
      <c r="AD216" s="153"/>
      <c r="AE216" s="153">
        <f t="shared" ref="AE216:AE247" si="422">L*Isw_min/J216*1000000</f>
        <v>0.46018276762402083</v>
      </c>
      <c r="AF216" s="317">
        <f t="shared" ref="AF216:AF247" si="423">MAX(12000,F216/(0.5*AE216/1000000*Isw_min*Nps))/1000</f>
        <v>12</v>
      </c>
      <c r="AG216" s="463">
        <f t="shared" ref="AG216:AG247" si="424">0.5*AE216/1000000*Isw_min*Nps*X216*1000</f>
        <v>1.2079797650130546E-2</v>
      </c>
      <c r="AI216" s="153">
        <f t="shared" ref="AI216:AI247" si="425">SQRT(F216/(0.5*L/J216*Fsw_DCM*Nps))</f>
        <v>4.3158011791125384E-5</v>
      </c>
      <c r="AJ216" s="153">
        <f t="shared" ref="AJ216:AJ247" si="426">MAX(IF(F216&gt;AC216,U216,AI216),Isw_min)</f>
        <v>0.15</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0.27115384615384613</v>
      </c>
      <c r="AU216" s="5">
        <f t="shared" si="304"/>
        <v>83.062179487179478</v>
      </c>
      <c r="AV216" s="5"/>
      <c r="AW216" s="153">
        <f t="shared" si="305"/>
        <v>3.2538461538461536E-3</v>
      </c>
      <c r="AX216" s="153"/>
      <c r="BA216" s="147">
        <f t="shared" ref="BA216:BA247" si="433">L*Isw_max^2/(2*Vout_ripple*Vout)*1000000000*((1+M216)/2)^2</f>
        <v>2.7597754264171033</v>
      </c>
      <c r="BB216" s="147">
        <f t="shared" ref="BB216:BB247" si="434">L*F216^2/(2*Cout*Vout*Nps^2)*1000000000*((1+M216)/(1-M216))^2+F216*RCoutEsr</f>
        <v>3.0000007434921663E-9</v>
      </c>
      <c r="BC216" s="5">
        <f t="shared" si="359"/>
        <v>7.0993315801008099E-8</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5">
      <c r="E217" s="150">
        <v>1</v>
      </c>
      <c r="F217" s="191">
        <f t="shared" ref="F217:F248" si="439">IF(PLOT_TYPE=1, E217/100*Iout_max, min_I*EXP(N217*rr/100))</f>
        <v>1E-3</v>
      </c>
      <c r="G217" s="191"/>
      <c r="H217" s="191">
        <f t="shared" si="404"/>
        <v>1.4999999999999999E-2</v>
      </c>
      <c r="I217" s="472">
        <f t="shared" si="405"/>
        <v>26</v>
      </c>
      <c r="J217" s="386">
        <f t="shared" si="406"/>
        <v>15.32</v>
      </c>
      <c r="K217" s="386">
        <f t="shared" si="407"/>
        <v>41.32</v>
      </c>
      <c r="L217" s="386"/>
      <c r="M217" s="191">
        <f t="shared" si="408"/>
        <v>0.37076476282671827</v>
      </c>
      <c r="N217" s="152">
        <f t="shared" si="409"/>
        <v>3.3254522666886368</v>
      </c>
      <c r="O217" s="152">
        <f t="shared" si="363"/>
        <v>1.4999999999999999E-2</v>
      </c>
      <c r="P217" s="191">
        <f t="shared" si="410"/>
        <v>0.22169681777924247</v>
      </c>
      <c r="Q217" s="191">
        <f t="shared" si="411"/>
        <v>15</v>
      </c>
      <c r="R217" s="191"/>
      <c r="S217" s="152">
        <f t="shared" si="412"/>
        <v>8749.0009509309402</v>
      </c>
      <c r="T217" s="152">
        <f t="shared" si="413"/>
        <v>15</v>
      </c>
      <c r="U217" s="191">
        <f t="shared" si="414"/>
        <v>3.4578563299189928E-3</v>
      </c>
      <c r="V217" s="191">
        <f t="shared" si="415"/>
        <v>6.2507402886997181E-3</v>
      </c>
      <c r="W217" s="191">
        <f t="shared" si="416"/>
        <v>1.0608305972989077E-2</v>
      </c>
      <c r="X217" s="175">
        <f t="shared" si="417"/>
        <v>350</v>
      </c>
      <c r="Y217" s="386">
        <f t="shared" si="418"/>
        <v>350</v>
      </c>
      <c r="AA217" s="191">
        <f t="shared" si="419"/>
        <v>0.58601117528843016</v>
      </c>
      <c r="AB217" s="153">
        <f t="shared" si="420"/>
        <v>1.7978149633522333</v>
      </c>
      <c r="AC217" s="153">
        <f t="shared" si="421"/>
        <v>0.18436944043440445</v>
      </c>
      <c r="AD217" s="153"/>
      <c r="AE217" s="153">
        <f t="shared" si="422"/>
        <v>0.46018276762402083</v>
      </c>
      <c r="AF217" s="317">
        <f t="shared" si="423"/>
        <v>28.973995271867622</v>
      </c>
      <c r="AG217" s="463">
        <f t="shared" si="424"/>
        <v>1.2079797650130546E-2</v>
      </c>
      <c r="AI217" s="153">
        <f t="shared" si="425"/>
        <v>4.3158011791125384E-2</v>
      </c>
      <c r="AJ217" s="153">
        <f t="shared" si="426"/>
        <v>0.15</v>
      </c>
      <c r="AK217" s="153">
        <f t="shared" si="427"/>
        <v>1.0165565687267815</v>
      </c>
      <c r="AM217" s="317">
        <f t="shared" si="428"/>
        <v>1</v>
      </c>
      <c r="AN217" s="147">
        <f t="shared" si="429"/>
        <v>28.973995271867622</v>
      </c>
      <c r="AP217">
        <f t="shared" si="430"/>
        <v>1</v>
      </c>
      <c r="AQ217">
        <f t="shared" si="431"/>
        <v>28.973995271867622</v>
      </c>
      <c r="AS217" s="5">
        <f t="shared" si="364"/>
        <v>34.513707571801554</v>
      </c>
      <c r="AT217" s="5">
        <f t="shared" si="432"/>
        <v>0.27115384615384613</v>
      </c>
      <c r="AU217" s="5">
        <f t="shared" si="304"/>
        <v>34.24255372564771</v>
      </c>
      <c r="AV217" s="5"/>
      <c r="AW217" s="153">
        <f t="shared" si="305"/>
        <v>7.8564102564102588E-3</v>
      </c>
      <c r="AX217" s="153"/>
      <c r="BA217" s="147">
        <f t="shared" si="433"/>
        <v>2.7597754264171033</v>
      </c>
      <c r="BB217" s="147">
        <f t="shared" si="434"/>
        <v>3.7434921656804734E-3</v>
      </c>
      <c r="BC217" s="5">
        <f t="shared" si="359"/>
        <v>2.9267139936451036E-2</v>
      </c>
      <c r="BD217" s="147">
        <f t="shared" si="435"/>
        <v>0</v>
      </c>
      <c r="BQ217" s="463">
        <f t="shared" si="436"/>
        <v>3.8200000000000002E-4</v>
      </c>
      <c r="CG217" s="59">
        <f t="shared" si="437"/>
        <v>-50</v>
      </c>
      <c r="CH217">
        <f t="shared" si="438"/>
        <v>-50</v>
      </c>
    </row>
    <row r="218" spans="5:88" x14ac:dyDescent="0.25">
      <c r="E218" s="150">
        <v>2</v>
      </c>
      <c r="F218" s="191">
        <f t="shared" si="439"/>
        <v>2E-3</v>
      </c>
      <c r="G218" s="191"/>
      <c r="H218" s="191">
        <f t="shared" si="404"/>
        <v>0.03</v>
      </c>
      <c r="I218" s="472">
        <f t="shared" si="405"/>
        <v>26</v>
      </c>
      <c r="J218" s="386">
        <f t="shared" si="406"/>
        <v>15.32</v>
      </c>
      <c r="K218" s="386">
        <f t="shared" si="407"/>
        <v>41.32</v>
      </c>
      <c r="L218" s="386"/>
      <c r="M218" s="191">
        <f t="shared" si="408"/>
        <v>0.37076476282671827</v>
      </c>
      <c r="N218" s="152">
        <f t="shared" si="409"/>
        <v>3.3254522666886368</v>
      </c>
      <c r="O218" s="152">
        <f t="shared" si="363"/>
        <v>0.03</v>
      </c>
      <c r="P218" s="191">
        <f t="shared" si="410"/>
        <v>0.22169681777924247</v>
      </c>
      <c r="Q218" s="191">
        <f t="shared" si="411"/>
        <v>15</v>
      </c>
      <c r="R218" s="191"/>
      <c r="S218" s="152">
        <f t="shared" si="412"/>
        <v>4361.5019074598131</v>
      </c>
      <c r="T218" s="152">
        <f t="shared" si="413"/>
        <v>15</v>
      </c>
      <c r="U218" s="191">
        <f t="shared" si="414"/>
        <v>6.9157126598379855E-3</v>
      </c>
      <c r="V218" s="191">
        <f t="shared" si="415"/>
        <v>1.2501480577399436E-2</v>
      </c>
      <c r="W218" s="191">
        <f t="shared" si="416"/>
        <v>2.1216611945978153E-2</v>
      </c>
      <c r="X218" s="175">
        <f t="shared" si="417"/>
        <v>350</v>
      </c>
      <c r="Y218" s="386">
        <f t="shared" si="418"/>
        <v>350</v>
      </c>
      <c r="AA218" s="191">
        <f t="shared" si="419"/>
        <v>0.58601117528843016</v>
      </c>
      <c r="AB218" s="153">
        <f t="shared" si="420"/>
        <v>1.7978149633522333</v>
      </c>
      <c r="AC218" s="153">
        <f t="shared" si="421"/>
        <v>0.18436944043440445</v>
      </c>
      <c r="AD218" s="153"/>
      <c r="AE218" s="153">
        <f t="shared" si="422"/>
        <v>0.46018276762402083</v>
      </c>
      <c r="AF218" s="317">
        <f t="shared" si="423"/>
        <v>57.947990543735244</v>
      </c>
      <c r="AG218" s="463">
        <f t="shared" si="424"/>
        <v>1.2079797650130546E-2</v>
      </c>
      <c r="AI218" s="153">
        <f t="shared" si="425"/>
        <v>6.1034645600067473E-2</v>
      </c>
      <c r="AJ218" s="153">
        <f t="shared" si="426"/>
        <v>0.15</v>
      </c>
      <c r="AK218" s="153">
        <f t="shared" si="427"/>
        <v>1.0331131374535629</v>
      </c>
      <c r="AM218" s="317">
        <f t="shared" si="428"/>
        <v>2</v>
      </c>
      <c r="AN218" s="147">
        <f t="shared" si="429"/>
        <v>57.947990543735244</v>
      </c>
      <c r="AP218">
        <f t="shared" si="430"/>
        <v>2</v>
      </c>
      <c r="AQ218">
        <f t="shared" si="431"/>
        <v>57.947990543735244</v>
      </c>
      <c r="AS218" s="5">
        <f t="shared" si="364"/>
        <v>17.256853785900777</v>
      </c>
      <c r="AT218" s="5">
        <f t="shared" si="432"/>
        <v>0.27115384615384613</v>
      </c>
      <c r="AU218" s="5">
        <f t="shared" si="304"/>
        <v>16.985699939746929</v>
      </c>
      <c r="AV218" s="5"/>
      <c r="AW218" s="153">
        <f t="shared" si="305"/>
        <v>1.5712820512820518E-2</v>
      </c>
      <c r="AX218" s="153"/>
      <c r="BA218" s="147">
        <f t="shared" si="433"/>
        <v>2.7597754264171033</v>
      </c>
      <c r="BB218" s="147">
        <f t="shared" si="434"/>
        <v>8.9739686627218936E-3</v>
      </c>
      <c r="BC218" s="5">
        <f t="shared" si="359"/>
        <v>2.9035384512387911E-2</v>
      </c>
      <c r="BD218" s="147">
        <f t="shared" si="435"/>
        <v>0</v>
      </c>
      <c r="BQ218" s="463">
        <f t="shared" si="436"/>
        <v>7.6400000000000003E-4</v>
      </c>
      <c r="CG218" s="59">
        <f t="shared" si="437"/>
        <v>-50</v>
      </c>
      <c r="CH218">
        <f t="shared" si="438"/>
        <v>-50</v>
      </c>
    </row>
    <row r="219" spans="5:88" x14ac:dyDescent="0.25">
      <c r="E219" s="150">
        <v>3</v>
      </c>
      <c r="F219" s="191">
        <f t="shared" si="439"/>
        <v>3.0000000000000001E-3</v>
      </c>
      <c r="G219" s="191"/>
      <c r="H219" s="191">
        <f t="shared" si="404"/>
        <v>4.4999999999999998E-2</v>
      </c>
      <c r="I219" s="472">
        <f t="shared" si="405"/>
        <v>26</v>
      </c>
      <c r="J219" s="386">
        <f t="shared" si="406"/>
        <v>15.32</v>
      </c>
      <c r="K219" s="386">
        <f t="shared" si="407"/>
        <v>41.32</v>
      </c>
      <c r="L219" s="386"/>
      <c r="M219" s="191">
        <f t="shared" si="408"/>
        <v>0.37076476282671827</v>
      </c>
      <c r="N219" s="152">
        <f t="shared" si="409"/>
        <v>3.3254522666886368</v>
      </c>
      <c r="O219" s="152">
        <f t="shared" si="363"/>
        <v>4.4999999999999998E-2</v>
      </c>
      <c r="P219" s="191">
        <f t="shared" si="410"/>
        <v>0.22169681777924247</v>
      </c>
      <c r="Q219" s="191">
        <f t="shared" si="411"/>
        <v>15</v>
      </c>
      <c r="R219" s="191"/>
      <c r="S219" s="152">
        <f t="shared" si="412"/>
        <v>2899.002869635558</v>
      </c>
      <c r="T219" s="152">
        <f t="shared" si="413"/>
        <v>15</v>
      </c>
      <c r="U219" s="191">
        <f t="shared" si="414"/>
        <v>1.0373568989756977E-2</v>
      </c>
      <c r="V219" s="191">
        <f t="shared" si="415"/>
        <v>1.8752220866099151E-2</v>
      </c>
      <c r="W219" s="191">
        <f t="shared" si="416"/>
        <v>3.1824917918967223E-2</v>
      </c>
      <c r="X219" s="175">
        <f t="shared" si="417"/>
        <v>350</v>
      </c>
      <c r="Y219" s="386">
        <f t="shared" si="418"/>
        <v>350</v>
      </c>
      <c r="AA219" s="191">
        <f t="shared" si="419"/>
        <v>0.58601117528843016</v>
      </c>
      <c r="AB219" s="153">
        <f t="shared" si="420"/>
        <v>1.7978149633522333</v>
      </c>
      <c r="AC219" s="153">
        <f t="shared" si="421"/>
        <v>0.18436944043440445</v>
      </c>
      <c r="AD219" s="153"/>
      <c r="AE219" s="153">
        <f t="shared" si="422"/>
        <v>0.46018276762402083</v>
      </c>
      <c r="AF219" s="317">
        <f t="shared" si="423"/>
        <v>86.921985815602866</v>
      </c>
      <c r="AG219" s="463">
        <f t="shared" si="424"/>
        <v>1.2079797650130546E-2</v>
      </c>
      <c r="AI219" s="153">
        <f t="shared" si="425"/>
        <v>7.4751869175885846E-2</v>
      </c>
      <c r="AJ219" s="153">
        <f t="shared" si="426"/>
        <v>0.15</v>
      </c>
      <c r="AK219" s="153">
        <f t="shared" si="427"/>
        <v>1.0496697061803446</v>
      </c>
      <c r="AM219" s="317">
        <f t="shared" si="428"/>
        <v>3</v>
      </c>
      <c r="AN219" s="147">
        <f t="shared" si="429"/>
        <v>86.921985815602866</v>
      </c>
      <c r="AP219">
        <f t="shared" si="430"/>
        <v>3</v>
      </c>
      <c r="AQ219">
        <f t="shared" si="431"/>
        <v>86.921985815602866</v>
      </c>
      <c r="AS219" s="5">
        <f t="shared" si="364"/>
        <v>11.504569190600519</v>
      </c>
      <c r="AT219" s="5">
        <f t="shared" si="432"/>
        <v>0.27115384615384613</v>
      </c>
      <c r="AU219" s="5">
        <f t="shared" si="304"/>
        <v>11.233415344446673</v>
      </c>
      <c r="AV219" s="5"/>
      <c r="AW219" s="153">
        <f t="shared" si="305"/>
        <v>2.3569230769230776E-2</v>
      </c>
      <c r="AX219" s="153"/>
      <c r="BA219" s="147">
        <f t="shared" si="433"/>
        <v>2.7597754264171033</v>
      </c>
      <c r="BB219" s="147">
        <f t="shared" si="434"/>
        <v>1.5691429491124263E-2</v>
      </c>
      <c r="BC219" s="5">
        <f t="shared" si="359"/>
        <v>2.88036290883248E-2</v>
      </c>
      <c r="BD219" s="147">
        <f t="shared" si="435"/>
        <v>0</v>
      </c>
      <c r="BQ219" s="463">
        <f t="shared" si="436"/>
        <v>1.1460000000000001E-3</v>
      </c>
      <c r="CG219" s="59">
        <f t="shared" si="437"/>
        <v>-50</v>
      </c>
      <c r="CH219">
        <f t="shared" si="438"/>
        <v>-50</v>
      </c>
    </row>
    <row r="220" spans="5:88" x14ac:dyDescent="0.25">
      <c r="E220" s="150">
        <v>4</v>
      </c>
      <c r="F220" s="191">
        <f t="shared" si="439"/>
        <v>4.0000000000000001E-3</v>
      </c>
      <c r="G220" s="191"/>
      <c r="H220" s="191">
        <f t="shared" si="404"/>
        <v>0.06</v>
      </c>
      <c r="I220" s="472">
        <f t="shared" si="405"/>
        <v>26</v>
      </c>
      <c r="J220" s="386">
        <f t="shared" si="406"/>
        <v>15.32</v>
      </c>
      <c r="K220" s="386">
        <f t="shared" si="407"/>
        <v>41.32</v>
      </c>
      <c r="L220" s="386"/>
      <c r="M220" s="191">
        <f t="shared" si="408"/>
        <v>0.37076476282671827</v>
      </c>
      <c r="N220" s="152">
        <f t="shared" si="409"/>
        <v>3.3254522666886368</v>
      </c>
      <c r="O220" s="152">
        <f t="shared" si="363"/>
        <v>0.06</v>
      </c>
      <c r="P220" s="191">
        <f t="shared" si="410"/>
        <v>0.22169681777924247</v>
      </c>
      <c r="Q220" s="191">
        <f t="shared" si="411"/>
        <v>15</v>
      </c>
      <c r="R220" s="191"/>
      <c r="S220" s="152">
        <f t="shared" si="412"/>
        <v>2167.7538375076788</v>
      </c>
      <c r="T220" s="152">
        <f t="shared" si="413"/>
        <v>15</v>
      </c>
      <c r="U220" s="191">
        <f t="shared" si="414"/>
        <v>1.3831425319675971E-2</v>
      </c>
      <c r="V220" s="191">
        <f t="shared" si="415"/>
        <v>2.5002961154798872E-2</v>
      </c>
      <c r="W220" s="191">
        <f t="shared" si="416"/>
        <v>4.2433223891956307E-2</v>
      </c>
      <c r="X220" s="175">
        <f t="shared" si="417"/>
        <v>350</v>
      </c>
      <c r="Y220" s="386">
        <f t="shared" si="418"/>
        <v>350</v>
      </c>
      <c r="AA220" s="191">
        <f t="shared" si="419"/>
        <v>0.58601117528843016</v>
      </c>
      <c r="AB220" s="153">
        <f t="shared" si="420"/>
        <v>1.7978149633522333</v>
      </c>
      <c r="AC220" s="153">
        <f t="shared" si="421"/>
        <v>0.18436944043440445</v>
      </c>
      <c r="AD220" s="153"/>
      <c r="AE220" s="153">
        <f t="shared" si="422"/>
        <v>0.46018276762402083</v>
      </c>
      <c r="AF220" s="317">
        <f t="shared" si="423"/>
        <v>115.89598108747049</v>
      </c>
      <c r="AG220" s="463">
        <f t="shared" si="424"/>
        <v>1.2079797650130546E-2</v>
      </c>
      <c r="AI220" s="153">
        <f t="shared" si="425"/>
        <v>8.6316023582250767E-2</v>
      </c>
      <c r="AJ220" s="153">
        <f t="shared" si="426"/>
        <v>0.15</v>
      </c>
      <c r="AK220" s="153">
        <f t="shared" si="427"/>
        <v>1.0662262749071261</v>
      </c>
      <c r="AM220" s="317">
        <f t="shared" si="428"/>
        <v>4</v>
      </c>
      <c r="AN220" s="147">
        <f t="shared" si="429"/>
        <v>115.89598108747049</v>
      </c>
      <c r="AP220">
        <f t="shared" si="430"/>
        <v>4</v>
      </c>
      <c r="AQ220">
        <f t="shared" si="431"/>
        <v>115.89598108747049</v>
      </c>
      <c r="AS220" s="5">
        <f t="shared" si="364"/>
        <v>8.6284268929503884</v>
      </c>
      <c r="AT220" s="5">
        <f t="shared" si="432"/>
        <v>0.27115384615384613</v>
      </c>
      <c r="AU220" s="5">
        <f t="shared" si="304"/>
        <v>8.3572730467965428</v>
      </c>
      <c r="AV220" s="5"/>
      <c r="AW220" s="153">
        <f t="shared" si="305"/>
        <v>3.1425641025641035E-2</v>
      </c>
      <c r="AX220" s="153"/>
      <c r="BA220" s="147">
        <f t="shared" si="433"/>
        <v>2.7597754264171033</v>
      </c>
      <c r="BB220" s="147">
        <f t="shared" si="434"/>
        <v>2.3895874650887571E-2</v>
      </c>
      <c r="BC220" s="5">
        <f t="shared" si="359"/>
        <v>2.8571873664261685E-2</v>
      </c>
      <c r="BD220" s="147">
        <f t="shared" si="435"/>
        <v>0</v>
      </c>
      <c r="BQ220" s="463">
        <f t="shared" si="436"/>
        <v>1.5280000000000001E-3</v>
      </c>
      <c r="CG220" s="59">
        <f t="shared" si="437"/>
        <v>-50</v>
      </c>
      <c r="CH220">
        <f t="shared" si="438"/>
        <v>-50</v>
      </c>
    </row>
    <row r="221" spans="5:88" x14ac:dyDescent="0.25">
      <c r="E221" s="150">
        <v>5</v>
      </c>
      <c r="F221" s="191">
        <f t="shared" si="439"/>
        <v>5.000000000000001E-3</v>
      </c>
      <c r="G221" s="191"/>
      <c r="H221" s="191">
        <f t="shared" si="404"/>
        <v>7.5000000000000011E-2</v>
      </c>
      <c r="I221" s="472">
        <f t="shared" si="405"/>
        <v>26</v>
      </c>
      <c r="J221" s="386">
        <f t="shared" si="406"/>
        <v>15.32</v>
      </c>
      <c r="K221" s="386">
        <f t="shared" si="407"/>
        <v>41.32</v>
      </c>
      <c r="L221" s="386"/>
      <c r="M221" s="191">
        <f t="shared" si="408"/>
        <v>0.37076476282671827</v>
      </c>
      <c r="N221" s="152">
        <f t="shared" si="409"/>
        <v>3.3254522666886368</v>
      </c>
      <c r="O221" s="152">
        <f t="shared" si="363"/>
        <v>7.5000000000000011E-2</v>
      </c>
      <c r="P221" s="191">
        <f t="shared" si="410"/>
        <v>0.22169681777924247</v>
      </c>
      <c r="Q221" s="191">
        <f t="shared" si="411"/>
        <v>15</v>
      </c>
      <c r="R221" s="191"/>
      <c r="S221" s="152">
        <f t="shared" si="412"/>
        <v>1729.0048111262536</v>
      </c>
      <c r="T221" s="152">
        <f t="shared" si="413"/>
        <v>15</v>
      </c>
      <c r="U221" s="191">
        <f t="shared" si="414"/>
        <v>1.7289281649594968E-2</v>
      </c>
      <c r="V221" s="191">
        <f t="shared" si="415"/>
        <v>3.1253701443498594E-2</v>
      </c>
      <c r="W221" s="191">
        <f t="shared" si="416"/>
        <v>5.304152986494539E-2</v>
      </c>
      <c r="X221" s="175">
        <f t="shared" si="417"/>
        <v>350</v>
      </c>
      <c r="Y221" s="386">
        <f t="shared" si="418"/>
        <v>350</v>
      </c>
      <c r="AA221" s="191">
        <f t="shared" si="419"/>
        <v>0.58601117528843016</v>
      </c>
      <c r="AB221" s="153">
        <f t="shared" si="420"/>
        <v>1.7978149633522333</v>
      </c>
      <c r="AC221" s="153">
        <f t="shared" si="421"/>
        <v>0.18436944043440445</v>
      </c>
      <c r="AD221" s="153"/>
      <c r="AE221" s="153">
        <f t="shared" si="422"/>
        <v>0.46018276762402083</v>
      </c>
      <c r="AF221" s="317">
        <f t="shared" si="423"/>
        <v>144.86997635933812</v>
      </c>
      <c r="AG221" s="463">
        <f t="shared" si="424"/>
        <v>1.2079797650130546E-2</v>
      </c>
      <c r="AI221" s="153">
        <f t="shared" si="425"/>
        <v>9.6504248138693835E-2</v>
      </c>
      <c r="AJ221" s="153">
        <f t="shared" si="426"/>
        <v>0.15</v>
      </c>
      <c r="AK221" s="153">
        <f t="shared" si="427"/>
        <v>1.0827828436339075</v>
      </c>
      <c r="AM221" s="317">
        <f t="shared" si="428"/>
        <v>5.0000000000000009</v>
      </c>
      <c r="AN221" s="147">
        <f t="shared" si="429"/>
        <v>144.86997635933812</v>
      </c>
      <c r="AP221">
        <f t="shared" si="430"/>
        <v>5.0000000000000009</v>
      </c>
      <c r="AQ221">
        <f t="shared" si="431"/>
        <v>144.86997635933812</v>
      </c>
      <c r="AS221" s="5">
        <f t="shared" si="364"/>
        <v>6.9027415143603097</v>
      </c>
      <c r="AT221" s="5">
        <f t="shared" si="432"/>
        <v>0.27115384615384613</v>
      </c>
      <c r="AU221" s="5">
        <f t="shared" si="304"/>
        <v>6.6315876682064632</v>
      </c>
      <c r="AV221" s="5"/>
      <c r="AW221" s="153">
        <f t="shared" si="305"/>
        <v>3.9282051282051297E-2</v>
      </c>
      <c r="AX221" s="153"/>
      <c r="BA221" s="147">
        <f t="shared" si="433"/>
        <v>2.7597754264171033</v>
      </c>
      <c r="BB221" s="147">
        <f t="shared" si="434"/>
        <v>3.3587304142011838E-2</v>
      </c>
      <c r="BC221" s="5">
        <f t="shared" si="359"/>
        <v>2.8340118240198563E-2</v>
      </c>
      <c r="BD221" s="147">
        <f t="shared" si="435"/>
        <v>0</v>
      </c>
      <c r="BQ221" s="463">
        <f t="shared" si="436"/>
        <v>1.9100000000000005E-3</v>
      </c>
      <c r="CG221" s="59">
        <f t="shared" si="437"/>
        <v>-50</v>
      </c>
      <c r="CH221">
        <f t="shared" si="438"/>
        <v>-50</v>
      </c>
    </row>
    <row r="222" spans="5:88" x14ac:dyDescent="0.25">
      <c r="E222" s="150">
        <v>6</v>
      </c>
      <c r="F222" s="191">
        <f t="shared" si="439"/>
        <v>6.0000000000000001E-3</v>
      </c>
      <c r="G222" s="191"/>
      <c r="H222" s="191">
        <f t="shared" si="404"/>
        <v>0.09</v>
      </c>
      <c r="I222" s="472">
        <f t="shared" si="405"/>
        <v>26</v>
      </c>
      <c r="J222" s="386">
        <f t="shared" si="406"/>
        <v>15.32</v>
      </c>
      <c r="K222" s="386">
        <f t="shared" si="407"/>
        <v>41.32</v>
      </c>
      <c r="L222" s="386"/>
      <c r="M222" s="191">
        <f t="shared" si="408"/>
        <v>0.37076476282671827</v>
      </c>
      <c r="N222" s="152">
        <f t="shared" si="409"/>
        <v>3.3254522666886368</v>
      </c>
      <c r="O222" s="152">
        <f t="shared" si="363"/>
        <v>0.09</v>
      </c>
      <c r="P222" s="191">
        <f t="shared" si="410"/>
        <v>0.22169681777924247</v>
      </c>
      <c r="Q222" s="191">
        <f t="shared" si="411"/>
        <v>15</v>
      </c>
      <c r="R222" s="191"/>
      <c r="S222" s="152">
        <f t="shared" si="412"/>
        <v>1436.5057905419396</v>
      </c>
      <c r="T222" s="152">
        <f t="shared" si="413"/>
        <v>15</v>
      </c>
      <c r="U222" s="191">
        <f t="shared" si="414"/>
        <v>2.0747137979513955E-2</v>
      </c>
      <c r="V222" s="191">
        <f t="shared" si="415"/>
        <v>3.7504441732198301E-2</v>
      </c>
      <c r="W222" s="191">
        <f t="shared" si="416"/>
        <v>6.3649835837934446E-2</v>
      </c>
      <c r="X222" s="175">
        <f t="shared" si="417"/>
        <v>350</v>
      </c>
      <c r="Y222" s="386">
        <f t="shared" si="418"/>
        <v>350</v>
      </c>
      <c r="AA222" s="191">
        <f t="shared" si="419"/>
        <v>0.58601117528843016</v>
      </c>
      <c r="AB222" s="153">
        <f t="shared" si="420"/>
        <v>1.7978149633522333</v>
      </c>
      <c r="AC222" s="153">
        <f t="shared" si="421"/>
        <v>0.18436944043440445</v>
      </c>
      <c r="AD222" s="153"/>
      <c r="AE222" s="153">
        <f t="shared" si="422"/>
        <v>0.46018276762402083</v>
      </c>
      <c r="AF222" s="317">
        <f t="shared" si="423"/>
        <v>173.84397163120573</v>
      </c>
      <c r="AG222" s="463">
        <f t="shared" si="424"/>
        <v>1.2079797650130546E-2</v>
      </c>
      <c r="AI222" s="153">
        <f t="shared" si="425"/>
        <v>0.10571510720127708</v>
      </c>
      <c r="AJ222" s="153">
        <f t="shared" si="426"/>
        <v>0.15</v>
      </c>
      <c r="AK222" s="153">
        <f t="shared" si="427"/>
        <v>1.099339412360689</v>
      </c>
      <c r="AM222" s="317">
        <f t="shared" si="428"/>
        <v>6</v>
      </c>
      <c r="AN222" s="147">
        <f t="shared" si="429"/>
        <v>173.84397163120573</v>
      </c>
      <c r="AP222">
        <f t="shared" si="430"/>
        <v>6</v>
      </c>
      <c r="AQ222">
        <f t="shared" si="431"/>
        <v>173.84397163120573</v>
      </c>
      <c r="AS222" s="5">
        <f t="shared" si="364"/>
        <v>5.7522845953002593</v>
      </c>
      <c r="AT222" s="5">
        <f t="shared" si="432"/>
        <v>0.27115384615384613</v>
      </c>
      <c r="AU222" s="5">
        <f t="shared" si="304"/>
        <v>5.4811307491464127</v>
      </c>
      <c r="AV222" s="5"/>
      <c r="AW222" s="153">
        <f t="shared" si="305"/>
        <v>4.7138461538461553E-2</v>
      </c>
      <c r="AX222" s="153"/>
      <c r="BA222" s="147">
        <f t="shared" si="433"/>
        <v>2.7597754264171033</v>
      </c>
      <c r="BB222" s="147">
        <f t="shared" si="434"/>
        <v>4.4765717964497048E-2</v>
      </c>
      <c r="BC222" s="5">
        <f t="shared" si="359"/>
        <v>2.8108362816135449E-2</v>
      </c>
      <c r="BD222" s="147">
        <f t="shared" si="435"/>
        <v>0</v>
      </c>
      <c r="BQ222" s="463">
        <f t="shared" si="436"/>
        <v>2.2920000000000002E-3</v>
      </c>
      <c r="CG222" s="59">
        <f t="shared" si="437"/>
        <v>-50</v>
      </c>
      <c r="CH222">
        <f t="shared" si="438"/>
        <v>-50</v>
      </c>
    </row>
    <row r="223" spans="5:88" x14ac:dyDescent="0.25">
      <c r="E223" s="150">
        <v>7</v>
      </c>
      <c r="F223" s="191">
        <f t="shared" si="439"/>
        <v>7.000000000000001E-3</v>
      </c>
      <c r="G223" s="191"/>
      <c r="H223" s="191">
        <f t="shared" si="404"/>
        <v>0.10500000000000001</v>
      </c>
      <c r="I223" s="472">
        <f t="shared" si="405"/>
        <v>26</v>
      </c>
      <c r="J223" s="386">
        <f t="shared" si="406"/>
        <v>15.32</v>
      </c>
      <c r="K223" s="386">
        <f t="shared" si="407"/>
        <v>41.32</v>
      </c>
      <c r="L223" s="386"/>
      <c r="M223" s="191">
        <f t="shared" si="408"/>
        <v>0.37076476282671827</v>
      </c>
      <c r="N223" s="152">
        <f t="shared" si="409"/>
        <v>3.3254522666886368</v>
      </c>
      <c r="O223" s="152">
        <f t="shared" si="363"/>
        <v>0.10500000000000001</v>
      </c>
      <c r="P223" s="191">
        <f t="shared" si="410"/>
        <v>0.22169681777924247</v>
      </c>
      <c r="Q223" s="191">
        <f t="shared" si="411"/>
        <v>15</v>
      </c>
      <c r="R223" s="191"/>
      <c r="S223" s="152">
        <f t="shared" si="412"/>
        <v>1227.5782043774116</v>
      </c>
      <c r="T223" s="152">
        <f t="shared" si="413"/>
        <v>15</v>
      </c>
      <c r="U223" s="191">
        <f t="shared" si="414"/>
        <v>2.4204994309432952E-2</v>
      </c>
      <c r="V223" s="191">
        <f t="shared" si="415"/>
        <v>4.3755182020898023E-2</v>
      </c>
      <c r="W223" s="191">
        <f t="shared" si="416"/>
        <v>7.425814181092355E-2</v>
      </c>
      <c r="X223" s="175">
        <f t="shared" si="417"/>
        <v>350</v>
      </c>
      <c r="Y223" s="386">
        <f t="shared" si="418"/>
        <v>350</v>
      </c>
      <c r="AA223" s="191">
        <f t="shared" si="419"/>
        <v>0.58601117528843016</v>
      </c>
      <c r="AB223" s="153">
        <f t="shared" si="420"/>
        <v>1.7978149633522333</v>
      </c>
      <c r="AC223" s="153">
        <f t="shared" si="421"/>
        <v>0.18436944043440445</v>
      </c>
      <c r="AD223" s="153"/>
      <c r="AE223" s="153">
        <f t="shared" si="422"/>
        <v>0.46018276762402083</v>
      </c>
      <c r="AF223" s="317">
        <f t="shared" si="423"/>
        <v>202.81796690307337</v>
      </c>
      <c r="AG223" s="463">
        <f t="shared" si="424"/>
        <v>1.2079797650130546E-2</v>
      </c>
      <c r="AI223" s="153">
        <f t="shared" si="425"/>
        <v>0.11418536627931106</v>
      </c>
      <c r="AJ223" s="153">
        <f t="shared" si="426"/>
        <v>0.15</v>
      </c>
      <c r="AK223" s="153">
        <f t="shared" si="427"/>
        <v>1.1158959810874705</v>
      </c>
      <c r="AM223" s="317">
        <f t="shared" si="428"/>
        <v>7.0000000000000009</v>
      </c>
      <c r="AN223" s="147">
        <f t="shared" si="429"/>
        <v>202.81796690307337</v>
      </c>
      <c r="AP223">
        <f t="shared" si="430"/>
        <v>7.0000000000000009</v>
      </c>
      <c r="AQ223">
        <f t="shared" si="431"/>
        <v>202.81796690307337</v>
      </c>
      <c r="AS223" s="5">
        <f t="shared" si="364"/>
        <v>4.9305296531145073</v>
      </c>
      <c r="AT223" s="5">
        <f t="shared" si="432"/>
        <v>0.27115384615384613</v>
      </c>
      <c r="AU223" s="5">
        <f t="shared" si="304"/>
        <v>4.6593758069606608</v>
      </c>
      <c r="AV223" s="5"/>
      <c r="AW223" s="153">
        <f t="shared" si="305"/>
        <v>5.4994871794871815E-2</v>
      </c>
      <c r="AX223" s="153"/>
      <c r="BA223" s="147">
        <f t="shared" si="433"/>
        <v>2.7597754264171033</v>
      </c>
      <c r="BB223" s="147">
        <f t="shared" si="434"/>
        <v>5.7431116118343201E-2</v>
      </c>
      <c r="BC223" s="5">
        <f t="shared" si="359"/>
        <v>2.7876607392072327E-2</v>
      </c>
      <c r="BD223" s="147">
        <f t="shared" si="435"/>
        <v>0</v>
      </c>
      <c r="BQ223" s="463">
        <f t="shared" si="436"/>
        <v>2.6740000000000002E-3</v>
      </c>
      <c r="CG223" s="59">
        <f t="shared" si="437"/>
        <v>-50</v>
      </c>
      <c r="CH223">
        <f t="shared" si="438"/>
        <v>-50</v>
      </c>
    </row>
    <row r="224" spans="5:88" x14ac:dyDescent="0.25">
      <c r="E224" s="150">
        <v>8</v>
      </c>
      <c r="F224" s="191">
        <f t="shared" si="439"/>
        <v>8.0000000000000002E-3</v>
      </c>
      <c r="G224" s="191"/>
      <c r="H224" s="191">
        <f t="shared" si="404"/>
        <v>0.12</v>
      </c>
      <c r="I224" s="472">
        <f t="shared" si="405"/>
        <v>26</v>
      </c>
      <c r="J224" s="386">
        <f t="shared" si="406"/>
        <v>15.32</v>
      </c>
      <c r="K224" s="386">
        <f t="shared" si="407"/>
        <v>41.32</v>
      </c>
      <c r="L224" s="386"/>
      <c r="M224" s="191">
        <f t="shared" si="408"/>
        <v>0.37076476282671827</v>
      </c>
      <c r="N224" s="152">
        <f t="shared" si="409"/>
        <v>3.3254522666886368</v>
      </c>
      <c r="O224" s="152">
        <f t="shared" si="363"/>
        <v>0.12</v>
      </c>
      <c r="P224" s="191">
        <f t="shared" si="410"/>
        <v>0.22169681777924247</v>
      </c>
      <c r="Q224" s="191">
        <f t="shared" si="411"/>
        <v>15</v>
      </c>
      <c r="R224" s="191"/>
      <c r="S224" s="152">
        <f t="shared" si="412"/>
        <v>1070.8827669702284</v>
      </c>
      <c r="T224" s="152">
        <f t="shared" si="413"/>
        <v>15</v>
      </c>
      <c r="U224" s="191">
        <f t="shared" si="414"/>
        <v>2.7662850639351942E-2</v>
      </c>
      <c r="V224" s="191">
        <f t="shared" si="415"/>
        <v>5.0005922309597745E-2</v>
      </c>
      <c r="W224" s="191">
        <f t="shared" si="416"/>
        <v>8.4866447783912613E-2</v>
      </c>
      <c r="X224" s="175">
        <f t="shared" si="417"/>
        <v>350</v>
      </c>
      <c r="Y224" s="386">
        <f t="shared" si="418"/>
        <v>350</v>
      </c>
      <c r="AA224" s="191">
        <f t="shared" si="419"/>
        <v>0.58601117528843016</v>
      </c>
      <c r="AB224" s="153">
        <f t="shared" si="420"/>
        <v>1.7978149633522333</v>
      </c>
      <c r="AC224" s="153">
        <f t="shared" si="421"/>
        <v>0.18436944043440445</v>
      </c>
      <c r="AD224" s="153"/>
      <c r="AE224" s="153">
        <f t="shared" si="422"/>
        <v>0.46018276762402083</v>
      </c>
      <c r="AF224" s="317">
        <f t="shared" si="423"/>
        <v>231.79196217494098</v>
      </c>
      <c r="AG224" s="463">
        <f t="shared" si="424"/>
        <v>1.2079797650130546E-2</v>
      </c>
      <c r="AI224" s="153">
        <f t="shared" si="425"/>
        <v>0.12206929120013495</v>
      </c>
      <c r="AJ224" s="153">
        <f t="shared" si="426"/>
        <v>0.15</v>
      </c>
      <c r="AK224" s="153">
        <f t="shared" si="427"/>
        <v>1.1324525498142519</v>
      </c>
      <c r="AM224" s="317">
        <f t="shared" si="428"/>
        <v>8</v>
      </c>
      <c r="AN224" s="147">
        <f t="shared" si="429"/>
        <v>231.79196217494098</v>
      </c>
      <c r="AP224">
        <f t="shared" si="430"/>
        <v>8</v>
      </c>
      <c r="AQ224">
        <f t="shared" si="431"/>
        <v>231.79196217494098</v>
      </c>
      <c r="AS224" s="5">
        <f t="shared" si="364"/>
        <v>4.3142134464751942</v>
      </c>
      <c r="AT224" s="5">
        <f t="shared" si="432"/>
        <v>0.27115384615384613</v>
      </c>
      <c r="AU224" s="5">
        <f t="shared" si="304"/>
        <v>4.0430596003213477</v>
      </c>
      <c r="AV224" s="5"/>
      <c r="AW224" s="153">
        <f t="shared" si="305"/>
        <v>6.285128205128207E-2</v>
      </c>
      <c r="AX224" s="153"/>
      <c r="BA224" s="147">
        <f t="shared" si="433"/>
        <v>2.7597754264171033</v>
      </c>
      <c r="BB224" s="147">
        <f t="shared" si="434"/>
        <v>7.1583498603550288E-2</v>
      </c>
      <c r="BC224" s="5">
        <f t="shared" si="359"/>
        <v>2.7644851968009216E-2</v>
      </c>
      <c r="BD224" s="147">
        <f t="shared" si="435"/>
        <v>0</v>
      </c>
      <c r="BQ224" s="463">
        <f t="shared" si="436"/>
        <v>3.0560000000000001E-3</v>
      </c>
      <c r="CG224" s="59">
        <f t="shared" si="437"/>
        <v>-50</v>
      </c>
      <c r="CH224">
        <f t="shared" si="438"/>
        <v>-50</v>
      </c>
    </row>
    <row r="225" spans="5:86" x14ac:dyDescent="0.25">
      <c r="E225" s="150">
        <v>9</v>
      </c>
      <c r="F225" s="191">
        <f t="shared" si="439"/>
        <v>8.9999999999999993E-3</v>
      </c>
      <c r="G225" s="191"/>
      <c r="H225" s="191">
        <f t="shared" si="404"/>
        <v>0.13499999999999998</v>
      </c>
      <c r="I225" s="472">
        <f t="shared" si="405"/>
        <v>26</v>
      </c>
      <c r="J225" s="386">
        <f t="shared" si="406"/>
        <v>15.32</v>
      </c>
      <c r="K225" s="386">
        <f t="shared" si="407"/>
        <v>41.32</v>
      </c>
      <c r="L225" s="386"/>
      <c r="M225" s="191">
        <f t="shared" si="408"/>
        <v>0.37076476282671827</v>
      </c>
      <c r="N225" s="152">
        <f t="shared" si="409"/>
        <v>3.3254522666886368</v>
      </c>
      <c r="O225" s="152">
        <f t="shared" si="363"/>
        <v>0.13499999999999998</v>
      </c>
      <c r="P225" s="191">
        <f t="shared" si="410"/>
        <v>0.22169681777924247</v>
      </c>
      <c r="Q225" s="191">
        <f t="shared" si="411"/>
        <v>15</v>
      </c>
      <c r="R225" s="191"/>
      <c r="S225" s="152">
        <f t="shared" si="412"/>
        <v>949.00876408712645</v>
      </c>
      <c r="T225" s="152">
        <f t="shared" si="413"/>
        <v>15</v>
      </c>
      <c r="U225" s="191">
        <f t="shared" si="414"/>
        <v>3.1120706969270932E-2</v>
      </c>
      <c r="V225" s="191">
        <f t="shared" si="415"/>
        <v>5.6256662598297459E-2</v>
      </c>
      <c r="W225" s="191">
        <f t="shared" si="416"/>
        <v>9.547475375690169E-2</v>
      </c>
      <c r="X225" s="175">
        <f t="shared" si="417"/>
        <v>350</v>
      </c>
      <c r="Y225" s="386">
        <f t="shared" si="418"/>
        <v>350</v>
      </c>
      <c r="AA225" s="191">
        <f t="shared" si="419"/>
        <v>0.58601117528843016</v>
      </c>
      <c r="AB225" s="153">
        <f t="shared" si="420"/>
        <v>1.7978149633522333</v>
      </c>
      <c r="AC225" s="153">
        <f t="shared" si="421"/>
        <v>0.18436944043440445</v>
      </c>
      <c r="AD225" s="153"/>
      <c r="AE225" s="153">
        <f t="shared" si="422"/>
        <v>0.46018276762402083</v>
      </c>
      <c r="AF225" s="317">
        <f t="shared" si="423"/>
        <v>260.76595744680856</v>
      </c>
      <c r="AG225" s="463">
        <f t="shared" si="424"/>
        <v>1.2079797650130546E-2</v>
      </c>
      <c r="AI225" s="153">
        <f t="shared" si="425"/>
        <v>0.12947403537337615</v>
      </c>
      <c r="AJ225" s="153">
        <f t="shared" si="426"/>
        <v>0.15</v>
      </c>
      <c r="AK225" s="153">
        <f t="shared" si="427"/>
        <v>1.1490091185410334</v>
      </c>
      <c r="AM225" s="317">
        <f t="shared" si="428"/>
        <v>9</v>
      </c>
      <c r="AN225" s="147">
        <f t="shared" si="429"/>
        <v>260.76595744680856</v>
      </c>
      <c r="AP225">
        <f t="shared" si="430"/>
        <v>9</v>
      </c>
      <c r="AQ225">
        <f t="shared" si="431"/>
        <v>260.76595744680856</v>
      </c>
      <c r="AS225" s="5">
        <f t="shared" si="364"/>
        <v>3.8348563968668401</v>
      </c>
      <c r="AT225" s="5">
        <f t="shared" si="432"/>
        <v>0.27115384615384613</v>
      </c>
      <c r="AU225" s="5">
        <f t="shared" si="304"/>
        <v>3.563702550712994</v>
      </c>
      <c r="AV225" s="5"/>
      <c r="AW225" s="153">
        <f t="shared" si="305"/>
        <v>7.0707692307692319E-2</v>
      </c>
      <c r="AX225" s="153"/>
      <c r="BA225" s="147">
        <f t="shared" si="433"/>
        <v>2.7597754264171033</v>
      </c>
      <c r="BB225" s="147">
        <f t="shared" si="434"/>
        <v>8.7222865420118312E-2</v>
      </c>
      <c r="BC225" s="5">
        <f t="shared" si="359"/>
        <v>2.7413096543946098E-2</v>
      </c>
      <c r="BD225" s="147">
        <f t="shared" si="435"/>
        <v>0</v>
      </c>
      <c r="BQ225" s="463">
        <f t="shared" si="436"/>
        <v>3.4379999999999997E-3</v>
      </c>
      <c r="CG225" s="59">
        <f t="shared" si="437"/>
        <v>-50</v>
      </c>
      <c r="CH225">
        <f t="shared" si="438"/>
        <v>-50</v>
      </c>
    </row>
    <row r="226" spans="5:86" x14ac:dyDescent="0.25">
      <c r="E226" s="150">
        <v>10</v>
      </c>
      <c r="F226" s="191">
        <f t="shared" si="439"/>
        <v>1.0000000000000002E-2</v>
      </c>
      <c r="G226" s="191"/>
      <c r="H226" s="191">
        <f t="shared" si="404"/>
        <v>0.15000000000000002</v>
      </c>
      <c r="I226" s="472">
        <f t="shared" si="405"/>
        <v>26</v>
      </c>
      <c r="J226" s="386">
        <f t="shared" si="406"/>
        <v>15.32</v>
      </c>
      <c r="K226" s="386">
        <f t="shared" si="407"/>
        <v>41.32</v>
      </c>
      <c r="L226" s="386"/>
      <c r="M226" s="191">
        <f t="shared" si="408"/>
        <v>0.37076476282671827</v>
      </c>
      <c r="N226" s="152">
        <f t="shared" si="409"/>
        <v>3.3254522666886368</v>
      </c>
      <c r="O226" s="152">
        <f t="shared" si="363"/>
        <v>0.15000000000000002</v>
      </c>
      <c r="P226" s="191">
        <f t="shared" si="410"/>
        <v>0.22169681777924247</v>
      </c>
      <c r="Q226" s="191">
        <f t="shared" si="411"/>
        <v>15</v>
      </c>
      <c r="R226" s="191"/>
      <c r="S226" s="152">
        <f t="shared" si="412"/>
        <v>851.50976720974074</v>
      </c>
      <c r="T226" s="152">
        <f t="shared" si="413"/>
        <v>15</v>
      </c>
      <c r="U226" s="191">
        <f t="shared" si="414"/>
        <v>3.4578563299189936E-2</v>
      </c>
      <c r="V226" s="191">
        <f t="shared" si="415"/>
        <v>6.2507402886997188E-2</v>
      </c>
      <c r="W226" s="191">
        <f t="shared" si="416"/>
        <v>0.10608305972989078</v>
      </c>
      <c r="X226" s="175">
        <f t="shared" si="417"/>
        <v>350</v>
      </c>
      <c r="Y226" s="386">
        <f t="shared" si="418"/>
        <v>350</v>
      </c>
      <c r="AA226" s="191">
        <f t="shared" si="419"/>
        <v>0.58601117528843016</v>
      </c>
      <c r="AB226" s="153">
        <f t="shared" si="420"/>
        <v>1.7978149633522333</v>
      </c>
      <c r="AC226" s="153">
        <f t="shared" si="421"/>
        <v>0.18436944043440445</v>
      </c>
      <c r="AD226" s="153"/>
      <c r="AE226" s="153">
        <f t="shared" si="422"/>
        <v>0.46018276762402083</v>
      </c>
      <c r="AF226" s="317">
        <f t="shared" si="423"/>
        <v>289.73995271867625</v>
      </c>
      <c r="AG226" s="463">
        <f t="shared" si="424"/>
        <v>1.2079797650130546E-2</v>
      </c>
      <c r="AI226" s="153">
        <f t="shared" si="425"/>
        <v>0.13647761654435933</v>
      </c>
      <c r="AJ226" s="153">
        <f t="shared" si="426"/>
        <v>0.15</v>
      </c>
      <c r="AK226" s="153">
        <f t="shared" si="427"/>
        <v>1.1655656872678151</v>
      </c>
      <c r="AM226" s="317">
        <f t="shared" si="428"/>
        <v>10.000000000000002</v>
      </c>
      <c r="AN226" s="147">
        <f t="shared" si="429"/>
        <v>289.73995271867625</v>
      </c>
      <c r="AP226">
        <f t="shared" si="430"/>
        <v>10.000000000000002</v>
      </c>
      <c r="AQ226">
        <f t="shared" si="431"/>
        <v>289.73995271867625</v>
      </c>
      <c r="AS226" s="5">
        <f t="shared" si="364"/>
        <v>3.4513707571801548</v>
      </c>
      <c r="AT226" s="5">
        <f t="shared" si="432"/>
        <v>0.27115384615384613</v>
      </c>
      <c r="AU226" s="5">
        <f t="shared" si="304"/>
        <v>3.1802169110263088</v>
      </c>
      <c r="AV226" s="5"/>
      <c r="AW226" s="153">
        <f t="shared" si="305"/>
        <v>7.8564102564102595E-2</v>
      </c>
      <c r="AX226" s="153"/>
      <c r="BA226" s="147">
        <f t="shared" si="433"/>
        <v>2.7597754264171033</v>
      </c>
      <c r="BB226" s="147">
        <f t="shared" si="434"/>
        <v>0.10434921656804735</v>
      </c>
      <c r="BC226" s="5">
        <f t="shared" si="359"/>
        <v>2.7181341119882987E-2</v>
      </c>
      <c r="BD226" s="147">
        <f t="shared" si="435"/>
        <v>0</v>
      </c>
      <c r="BQ226" s="463">
        <f t="shared" si="436"/>
        <v>3.8200000000000009E-3</v>
      </c>
      <c r="CG226" s="59">
        <f t="shared" si="437"/>
        <v>-50</v>
      </c>
      <c r="CH226">
        <f t="shared" si="438"/>
        <v>-50</v>
      </c>
    </row>
    <row r="227" spans="5:86" x14ac:dyDescent="0.25">
      <c r="E227" s="150">
        <v>11</v>
      </c>
      <c r="F227" s="191">
        <f t="shared" si="439"/>
        <v>1.1000000000000001E-2</v>
      </c>
      <c r="G227" s="191"/>
      <c r="H227" s="191">
        <f t="shared" si="404"/>
        <v>0.16500000000000001</v>
      </c>
      <c r="I227" s="472">
        <f t="shared" si="405"/>
        <v>26</v>
      </c>
      <c r="J227" s="386">
        <f t="shared" si="406"/>
        <v>15.32</v>
      </c>
      <c r="K227" s="386">
        <f t="shared" si="407"/>
        <v>41.32</v>
      </c>
      <c r="L227" s="386"/>
      <c r="M227" s="191">
        <f t="shared" si="408"/>
        <v>0.37076476282671827</v>
      </c>
      <c r="N227" s="152">
        <f t="shared" si="409"/>
        <v>3.3254522666886368</v>
      </c>
      <c r="O227" s="152">
        <f t="shared" si="363"/>
        <v>0.16500000000000001</v>
      </c>
      <c r="P227" s="191">
        <f t="shared" si="410"/>
        <v>0.22169681777924247</v>
      </c>
      <c r="Q227" s="191">
        <f t="shared" si="411"/>
        <v>15</v>
      </c>
      <c r="R227" s="191"/>
      <c r="S227" s="152">
        <f t="shared" si="412"/>
        <v>771.73804911903414</v>
      </c>
      <c r="T227" s="152">
        <f t="shared" si="413"/>
        <v>15</v>
      </c>
      <c r="U227" s="191">
        <f t="shared" si="414"/>
        <v>3.803641962910892E-2</v>
      </c>
      <c r="V227" s="191">
        <f t="shared" si="415"/>
        <v>6.8758143175696895E-2</v>
      </c>
      <c r="W227" s="191">
        <f t="shared" si="416"/>
        <v>0.11669136570287984</v>
      </c>
      <c r="X227" s="175">
        <f t="shared" si="417"/>
        <v>350</v>
      </c>
      <c r="Y227" s="386">
        <f t="shared" si="418"/>
        <v>350</v>
      </c>
      <c r="AA227" s="191">
        <f t="shared" si="419"/>
        <v>0.58601117528843016</v>
      </c>
      <c r="AB227" s="153">
        <f t="shared" si="420"/>
        <v>1.7978149633522333</v>
      </c>
      <c r="AC227" s="153">
        <f t="shared" si="421"/>
        <v>0.18436944043440445</v>
      </c>
      <c r="AD227" s="153"/>
      <c r="AE227" s="153">
        <f t="shared" si="422"/>
        <v>0.46018276762402083</v>
      </c>
      <c r="AF227" s="317">
        <f t="shared" si="423"/>
        <v>318.71394799054383</v>
      </c>
      <c r="AG227" s="463">
        <f t="shared" si="424"/>
        <v>1.2079797650130546E-2</v>
      </c>
      <c r="AI227" s="153">
        <f t="shared" si="425"/>
        <v>0.14313893180889711</v>
      </c>
      <c r="AJ227" s="153">
        <f t="shared" si="426"/>
        <v>0.15</v>
      </c>
      <c r="AK227" s="153">
        <f t="shared" si="427"/>
        <v>1.1821222559945965</v>
      </c>
      <c r="AM227" s="317">
        <f t="shared" si="428"/>
        <v>11.000000000000002</v>
      </c>
      <c r="AN227" s="147">
        <f t="shared" si="429"/>
        <v>318.71394799054383</v>
      </c>
      <c r="AP227">
        <f t="shared" si="430"/>
        <v>11.000000000000002</v>
      </c>
      <c r="AQ227">
        <f t="shared" si="431"/>
        <v>318.71394799054383</v>
      </c>
      <c r="AS227" s="5">
        <f t="shared" si="364"/>
        <v>3.1376097792546869</v>
      </c>
      <c r="AT227" s="5">
        <f t="shared" si="432"/>
        <v>0.27115384615384613</v>
      </c>
      <c r="AU227" s="5">
        <f t="shared" si="304"/>
        <v>2.8664559331008408</v>
      </c>
      <c r="AV227" s="5"/>
      <c r="AW227" s="153">
        <f t="shared" si="305"/>
        <v>8.6420512820512843E-2</v>
      </c>
      <c r="AX227" s="153"/>
      <c r="BA227" s="147">
        <f t="shared" si="433"/>
        <v>2.7597754264171033</v>
      </c>
      <c r="BB227" s="147">
        <f t="shared" si="434"/>
        <v>0.12296255204733729</v>
      </c>
      <c r="BC227" s="5">
        <f t="shared" si="359"/>
        <v>2.6949585695819876E-2</v>
      </c>
      <c r="BD227" s="147">
        <f t="shared" si="435"/>
        <v>0</v>
      </c>
      <c r="BQ227" s="463">
        <f t="shared" si="436"/>
        <v>4.202E-3</v>
      </c>
      <c r="CG227" s="59">
        <f t="shared" si="437"/>
        <v>-50</v>
      </c>
      <c r="CH227">
        <f t="shared" si="438"/>
        <v>-50</v>
      </c>
    </row>
    <row r="228" spans="5:86" x14ac:dyDescent="0.25">
      <c r="E228" s="150">
        <v>12</v>
      </c>
      <c r="F228" s="191">
        <f t="shared" si="439"/>
        <v>1.2E-2</v>
      </c>
      <c r="G228" s="191"/>
      <c r="H228" s="191">
        <f t="shared" si="404"/>
        <v>0.18</v>
      </c>
      <c r="I228" s="472">
        <f t="shared" si="405"/>
        <v>26</v>
      </c>
      <c r="J228" s="386">
        <f t="shared" si="406"/>
        <v>15.32</v>
      </c>
      <c r="K228" s="386">
        <f t="shared" si="407"/>
        <v>41.32</v>
      </c>
      <c r="L228" s="386"/>
      <c r="M228" s="191">
        <f t="shared" si="408"/>
        <v>0.37076476282671827</v>
      </c>
      <c r="N228" s="152">
        <f t="shared" si="409"/>
        <v>3.3254522666886368</v>
      </c>
      <c r="O228" s="152">
        <f t="shared" si="363"/>
        <v>0.18</v>
      </c>
      <c r="P228" s="191">
        <f t="shared" si="410"/>
        <v>0.22169681777924247</v>
      </c>
      <c r="Q228" s="191">
        <f t="shared" si="411"/>
        <v>15</v>
      </c>
      <c r="R228" s="191"/>
      <c r="S228" s="152">
        <f t="shared" si="412"/>
        <v>705.26179168750957</v>
      </c>
      <c r="T228" s="152">
        <f t="shared" si="413"/>
        <v>15</v>
      </c>
      <c r="U228" s="191">
        <f t="shared" si="414"/>
        <v>4.149427595902791E-2</v>
      </c>
      <c r="V228" s="191">
        <f t="shared" si="415"/>
        <v>7.5008883464396603E-2</v>
      </c>
      <c r="W228" s="191">
        <f t="shared" si="416"/>
        <v>0.12729967167586889</v>
      </c>
      <c r="X228" s="175">
        <f t="shared" si="417"/>
        <v>350</v>
      </c>
      <c r="Y228" s="386">
        <f t="shared" si="418"/>
        <v>350</v>
      </c>
      <c r="AA228" s="191">
        <f t="shared" si="419"/>
        <v>0.58601117528843016</v>
      </c>
      <c r="AB228" s="153">
        <f t="shared" si="420"/>
        <v>1.7978149633522333</v>
      </c>
      <c r="AC228" s="153">
        <f t="shared" si="421"/>
        <v>0.18436944043440445</v>
      </c>
      <c r="AD228" s="153"/>
      <c r="AE228" s="153">
        <f t="shared" si="422"/>
        <v>0.46018276762402083</v>
      </c>
      <c r="AF228" s="317">
        <f t="shared" si="423"/>
        <v>347.68794326241147</v>
      </c>
      <c r="AG228" s="463">
        <f t="shared" si="424"/>
        <v>1.2079797650130546E-2</v>
      </c>
      <c r="AI228" s="153">
        <f t="shared" si="425"/>
        <v>0.14950373835177169</v>
      </c>
      <c r="AJ228" s="153">
        <f t="shared" si="426"/>
        <v>0.15</v>
      </c>
      <c r="AK228" s="153">
        <f t="shared" si="427"/>
        <v>1.198678824721378</v>
      </c>
      <c r="AM228" s="317">
        <f t="shared" si="428"/>
        <v>12</v>
      </c>
      <c r="AN228" s="147">
        <f t="shared" si="429"/>
        <v>347.68794326241147</v>
      </c>
      <c r="AP228">
        <f t="shared" si="430"/>
        <v>12</v>
      </c>
      <c r="AQ228">
        <f t="shared" si="431"/>
        <v>347.68794326241147</v>
      </c>
      <c r="AS228" s="5">
        <f t="shared" si="364"/>
        <v>2.8761422976501296</v>
      </c>
      <c r="AT228" s="5">
        <f t="shared" si="432"/>
        <v>0.27115384615384613</v>
      </c>
      <c r="AU228" s="5">
        <f t="shared" si="304"/>
        <v>2.6049884514962836</v>
      </c>
      <c r="AV228" s="5"/>
      <c r="AW228" s="153">
        <f t="shared" si="305"/>
        <v>9.4276923076923105E-2</v>
      </c>
      <c r="AX228" s="153"/>
      <c r="BA228" s="147">
        <f t="shared" si="433"/>
        <v>2.7597754264171033</v>
      </c>
      <c r="BB228" s="147">
        <f t="shared" si="434"/>
        <v>0.14306287185798816</v>
      </c>
      <c r="BC228" s="5">
        <f t="shared" si="359"/>
        <v>2.6717830271756754E-2</v>
      </c>
      <c r="BD228" s="147">
        <f t="shared" si="435"/>
        <v>0</v>
      </c>
      <c r="BQ228" s="463">
        <f t="shared" si="436"/>
        <v>4.5840000000000004E-3</v>
      </c>
      <c r="CG228" s="59">
        <f t="shared" si="437"/>
        <v>-50</v>
      </c>
      <c r="CH228">
        <f t="shared" si="438"/>
        <v>-50</v>
      </c>
    </row>
    <row r="229" spans="5:86" x14ac:dyDescent="0.25">
      <c r="E229" s="150">
        <v>13</v>
      </c>
      <c r="F229" s="191">
        <f t="shared" si="439"/>
        <v>1.3000000000000001E-2</v>
      </c>
      <c r="G229" s="191"/>
      <c r="H229" s="191">
        <f t="shared" si="404"/>
        <v>0.19500000000000001</v>
      </c>
      <c r="I229" s="472">
        <f t="shared" si="405"/>
        <v>26</v>
      </c>
      <c r="J229" s="386">
        <f t="shared" si="406"/>
        <v>15.32</v>
      </c>
      <c r="K229" s="386">
        <f t="shared" si="407"/>
        <v>41.32</v>
      </c>
      <c r="L229" s="386"/>
      <c r="M229" s="191">
        <f t="shared" si="408"/>
        <v>0.37076476282671827</v>
      </c>
      <c r="N229" s="152">
        <f t="shared" si="409"/>
        <v>3.3254522666886368</v>
      </c>
      <c r="O229" s="152">
        <f t="shared" si="363"/>
        <v>0.19500000000000001</v>
      </c>
      <c r="P229" s="191">
        <f t="shared" si="410"/>
        <v>0.22169681777924247</v>
      </c>
      <c r="Q229" s="191">
        <f t="shared" si="411"/>
        <v>15</v>
      </c>
      <c r="R229" s="191"/>
      <c r="S229" s="152">
        <f t="shared" si="412"/>
        <v>649.01281315194842</v>
      </c>
      <c r="T229" s="152">
        <f t="shared" si="413"/>
        <v>15</v>
      </c>
      <c r="U229" s="191">
        <f t="shared" si="414"/>
        <v>4.4952132288946907E-2</v>
      </c>
      <c r="V229" s="191">
        <f t="shared" si="415"/>
        <v>8.1259623753096311E-2</v>
      </c>
      <c r="W229" s="191">
        <f t="shared" si="416"/>
        <v>0.13790797764885798</v>
      </c>
      <c r="X229" s="175">
        <f t="shared" si="417"/>
        <v>350</v>
      </c>
      <c r="Y229" s="386">
        <f t="shared" si="418"/>
        <v>350</v>
      </c>
      <c r="AA229" s="191">
        <f t="shared" si="419"/>
        <v>0.58601117528843016</v>
      </c>
      <c r="AB229" s="153">
        <f t="shared" si="420"/>
        <v>1.7978149633522333</v>
      </c>
      <c r="AC229" s="153">
        <f t="shared" si="421"/>
        <v>0.18436944043440445</v>
      </c>
      <c r="AD229" s="153"/>
      <c r="AE229" s="153">
        <f t="shared" si="422"/>
        <v>0.46018276762402083</v>
      </c>
      <c r="AF229" s="317">
        <f t="shared" si="423"/>
        <v>376.66193853427905</v>
      </c>
      <c r="AG229" s="463">
        <f t="shared" si="424"/>
        <v>1.2079797650130546E-2</v>
      </c>
      <c r="AI229" s="153">
        <f t="shared" si="425"/>
        <v>0.15560842445998202</v>
      </c>
      <c r="AJ229" s="153">
        <f t="shared" si="426"/>
        <v>0.15560842445998202</v>
      </c>
      <c r="AK229" s="153">
        <f t="shared" si="427"/>
        <v>1.203738949639988</v>
      </c>
      <c r="AM229" s="317">
        <f t="shared" si="428"/>
        <v>13.000000000000002</v>
      </c>
      <c r="AN229" s="147">
        <f t="shared" si="429"/>
        <v>350</v>
      </c>
      <c r="AP229">
        <f t="shared" si="430"/>
        <v>13.000000000000002</v>
      </c>
      <c r="AQ229">
        <f t="shared" si="431"/>
        <v>350</v>
      </c>
      <c r="AS229" s="5">
        <f t="shared" si="364"/>
        <v>2.8571428571428572</v>
      </c>
      <c r="AT229" s="5">
        <f t="shared" si="432"/>
        <v>0.28129215190842899</v>
      </c>
      <c r="AU229" s="5">
        <f t="shared" si="304"/>
        <v>2.5758507052344282</v>
      </c>
      <c r="AV229" s="5"/>
      <c r="AW229" s="153">
        <f t="shared" si="305"/>
        <v>9.8452253167950143E-2</v>
      </c>
      <c r="AX229" s="153"/>
      <c r="BA229" s="147">
        <f t="shared" si="433"/>
        <v>2.7597754264171033</v>
      </c>
      <c r="BB229" s="147">
        <f t="shared" si="434"/>
        <v>0.16465017600000004</v>
      </c>
      <c r="BC229" s="5">
        <f t="shared" si="359"/>
        <v>2.8620563391493645E-2</v>
      </c>
      <c r="BD229" s="147">
        <f t="shared" si="435"/>
        <v>0</v>
      </c>
      <c r="BQ229" s="463">
        <f t="shared" si="436"/>
        <v>4.9660000000000008E-3</v>
      </c>
      <c r="CG229" s="59">
        <f t="shared" si="437"/>
        <v>-50</v>
      </c>
      <c r="CH229">
        <f t="shared" si="438"/>
        <v>-50</v>
      </c>
    </row>
    <row r="230" spans="5:86" x14ac:dyDescent="0.25">
      <c r="E230" s="150">
        <v>14</v>
      </c>
      <c r="F230" s="191">
        <f t="shared" si="439"/>
        <v>1.4000000000000002E-2</v>
      </c>
      <c r="G230" s="191"/>
      <c r="H230" s="191">
        <f t="shared" si="404"/>
        <v>0.21000000000000002</v>
      </c>
      <c r="I230" s="472">
        <f t="shared" si="405"/>
        <v>26</v>
      </c>
      <c r="J230" s="386">
        <f t="shared" si="406"/>
        <v>15.32</v>
      </c>
      <c r="K230" s="386">
        <f t="shared" si="407"/>
        <v>41.32</v>
      </c>
      <c r="L230" s="386"/>
      <c r="M230" s="191">
        <f t="shared" si="408"/>
        <v>0.37076476282671827</v>
      </c>
      <c r="N230" s="152">
        <f t="shared" si="409"/>
        <v>3.3254522666886368</v>
      </c>
      <c r="O230" s="152">
        <f t="shared" si="363"/>
        <v>0.21000000000000002</v>
      </c>
      <c r="P230" s="191">
        <f t="shared" si="410"/>
        <v>0.22169681777924247</v>
      </c>
      <c r="Q230" s="191">
        <f t="shared" si="411"/>
        <v>15</v>
      </c>
      <c r="R230" s="191"/>
      <c r="S230" s="152">
        <f t="shared" si="412"/>
        <v>600.79955512640731</v>
      </c>
      <c r="T230" s="152">
        <f t="shared" si="413"/>
        <v>15</v>
      </c>
      <c r="U230" s="191">
        <f t="shared" si="414"/>
        <v>4.8409988618865904E-2</v>
      </c>
      <c r="V230" s="191">
        <f t="shared" si="415"/>
        <v>8.7510364041796046E-2</v>
      </c>
      <c r="W230" s="191">
        <f t="shared" si="416"/>
        <v>0.1485162836218471</v>
      </c>
      <c r="X230" s="175">
        <f t="shared" si="417"/>
        <v>350</v>
      </c>
      <c r="Y230" s="386">
        <f t="shared" si="418"/>
        <v>350</v>
      </c>
      <c r="AA230" s="191">
        <f t="shared" si="419"/>
        <v>0.58601117528843016</v>
      </c>
      <c r="AB230" s="153">
        <f t="shared" si="420"/>
        <v>1.7978149633522333</v>
      </c>
      <c r="AC230" s="153">
        <f t="shared" si="421"/>
        <v>0.18436944043440445</v>
      </c>
      <c r="AD230" s="153"/>
      <c r="AE230" s="153">
        <f t="shared" si="422"/>
        <v>0.46018276762402083</v>
      </c>
      <c r="AF230" s="317">
        <f t="shared" si="423"/>
        <v>405.63593380614674</v>
      </c>
      <c r="AG230" s="463">
        <f t="shared" si="424"/>
        <v>1.2079797650130546E-2</v>
      </c>
      <c r="AI230" s="153">
        <f t="shared" si="425"/>
        <v>0.16148249361674116</v>
      </c>
      <c r="AJ230" s="153">
        <f t="shared" si="426"/>
        <v>0.16148249361674116</v>
      </c>
      <c r="AK230" s="153">
        <f t="shared" si="427"/>
        <v>1.207654995744494</v>
      </c>
      <c r="AM230" s="317">
        <f t="shared" si="428"/>
        <v>14.000000000000002</v>
      </c>
      <c r="AN230" s="147">
        <f t="shared" si="429"/>
        <v>350</v>
      </c>
      <c r="AP230">
        <f t="shared" si="430"/>
        <v>14.000000000000002</v>
      </c>
      <c r="AQ230">
        <f t="shared" si="431"/>
        <v>350</v>
      </c>
      <c r="AS230" s="5">
        <f t="shared" si="364"/>
        <v>2.8571428571428572</v>
      </c>
      <c r="AT230" s="5">
        <f t="shared" si="432"/>
        <v>0.29191066153795514</v>
      </c>
      <c r="AU230" s="5">
        <f t="shared" si="304"/>
        <v>2.565232195604902</v>
      </c>
      <c r="AV230" s="5"/>
      <c r="AW230" s="153">
        <f t="shared" si="305"/>
        <v>0.10216873153828429</v>
      </c>
      <c r="AX230" s="153"/>
      <c r="BA230" s="147">
        <f t="shared" si="433"/>
        <v>2.7597754264171033</v>
      </c>
      <c r="BB230" s="147">
        <f t="shared" si="434"/>
        <v>0.18772446447337279</v>
      </c>
      <c r="BC230" s="5">
        <f t="shared" si="359"/>
        <v>3.0695086101255237E-2</v>
      </c>
      <c r="BD230" s="147">
        <f t="shared" si="435"/>
        <v>0</v>
      </c>
      <c r="BQ230" s="463">
        <f t="shared" si="436"/>
        <v>5.3480000000000003E-3</v>
      </c>
      <c r="CG230" s="59">
        <f t="shared" si="437"/>
        <v>-50</v>
      </c>
      <c r="CH230">
        <f t="shared" si="438"/>
        <v>-50</v>
      </c>
    </row>
    <row r="231" spans="5:86" x14ac:dyDescent="0.25">
      <c r="E231" s="150">
        <v>15</v>
      </c>
      <c r="F231" s="191">
        <f t="shared" si="439"/>
        <v>1.4999999999999999E-2</v>
      </c>
      <c r="G231" s="191"/>
      <c r="H231" s="191">
        <f t="shared" si="404"/>
        <v>0.22499999999999998</v>
      </c>
      <c r="I231" s="472">
        <f t="shared" si="405"/>
        <v>26</v>
      </c>
      <c r="J231" s="386">
        <f t="shared" si="406"/>
        <v>15.32</v>
      </c>
      <c r="K231" s="386">
        <f t="shared" si="407"/>
        <v>41.32</v>
      </c>
      <c r="L231" s="386"/>
      <c r="M231" s="191">
        <f t="shared" si="408"/>
        <v>0.37076476282671827</v>
      </c>
      <c r="N231" s="152">
        <f t="shared" si="409"/>
        <v>3.3254522666886368</v>
      </c>
      <c r="O231" s="152">
        <f t="shared" si="363"/>
        <v>0.22499999999999998</v>
      </c>
      <c r="P231" s="191">
        <f t="shared" si="410"/>
        <v>0.22169681777924247</v>
      </c>
      <c r="Q231" s="191">
        <f t="shared" si="411"/>
        <v>15</v>
      </c>
      <c r="R231" s="191"/>
      <c r="S231" s="152">
        <f t="shared" si="412"/>
        <v>559.01487481001948</v>
      </c>
      <c r="T231" s="152">
        <f t="shared" si="413"/>
        <v>15</v>
      </c>
      <c r="U231" s="191">
        <f t="shared" si="414"/>
        <v>5.1867844948784887E-2</v>
      </c>
      <c r="V231" s="191">
        <f t="shared" si="415"/>
        <v>9.3761104330495754E-2</v>
      </c>
      <c r="W231" s="191">
        <f t="shared" si="416"/>
        <v>0.15912458959483614</v>
      </c>
      <c r="X231" s="175">
        <f t="shared" si="417"/>
        <v>350</v>
      </c>
      <c r="Y231" s="386">
        <f t="shared" si="418"/>
        <v>350</v>
      </c>
      <c r="AA231" s="191">
        <f t="shared" si="419"/>
        <v>0.58601117528843016</v>
      </c>
      <c r="AB231" s="153">
        <f t="shared" si="420"/>
        <v>1.7978149633522333</v>
      </c>
      <c r="AC231" s="153">
        <f t="shared" si="421"/>
        <v>0.18436944043440445</v>
      </c>
      <c r="AD231" s="153"/>
      <c r="AE231" s="153">
        <f t="shared" si="422"/>
        <v>0.46018276762402083</v>
      </c>
      <c r="AF231" s="317">
        <f t="shared" si="423"/>
        <v>434.60992907801426</v>
      </c>
      <c r="AG231" s="463">
        <f t="shared" si="424"/>
        <v>1.2079797650130546E-2</v>
      </c>
      <c r="AI231" s="153">
        <f t="shared" si="425"/>
        <v>0.16715026092245194</v>
      </c>
      <c r="AJ231" s="153">
        <f t="shared" si="426"/>
        <v>0.16715026092245194</v>
      </c>
      <c r="AK231" s="153">
        <f t="shared" si="427"/>
        <v>1.2114335072816347</v>
      </c>
      <c r="AM231" s="317">
        <f t="shared" si="428"/>
        <v>15</v>
      </c>
      <c r="AN231" s="147">
        <f t="shared" si="429"/>
        <v>350</v>
      </c>
      <c r="AP231">
        <f t="shared" si="430"/>
        <v>15</v>
      </c>
      <c r="AQ231">
        <f t="shared" si="431"/>
        <v>350</v>
      </c>
      <c r="AS231" s="5">
        <f t="shared" si="364"/>
        <v>2.8571428571428572</v>
      </c>
      <c r="AT231" s="5">
        <f t="shared" si="432"/>
        <v>0.30215624089827847</v>
      </c>
      <c r="AU231" s="5">
        <f t="shared" si="304"/>
        <v>2.5549866162445789</v>
      </c>
      <c r="AV231" s="5"/>
      <c r="AW231" s="153">
        <f t="shared" si="305"/>
        <v>0.10575468431439747</v>
      </c>
      <c r="AX231" s="153"/>
      <c r="BA231" s="147">
        <f t="shared" si="433"/>
        <v>2.7597754264171033</v>
      </c>
      <c r="BB231" s="147">
        <f t="shared" si="434"/>
        <v>0.21228573727810651</v>
      </c>
      <c r="BC231" s="5">
        <f t="shared" si="359"/>
        <v>3.275623866980229E-2</v>
      </c>
      <c r="BD231" s="147">
        <f t="shared" si="435"/>
        <v>0</v>
      </c>
      <c r="BQ231" s="463">
        <f t="shared" si="436"/>
        <v>5.7299999999999999E-3</v>
      </c>
      <c r="CG231" s="59">
        <f t="shared" si="437"/>
        <v>-50</v>
      </c>
      <c r="CH231">
        <f t="shared" si="438"/>
        <v>-50</v>
      </c>
    </row>
    <row r="232" spans="5:86" x14ac:dyDescent="0.25">
      <c r="E232" s="150">
        <v>16</v>
      </c>
      <c r="F232" s="191">
        <f t="shared" si="439"/>
        <v>1.6E-2</v>
      </c>
      <c r="G232" s="191"/>
      <c r="H232" s="191">
        <f t="shared" si="404"/>
        <v>0.24</v>
      </c>
      <c r="I232" s="472">
        <f t="shared" si="405"/>
        <v>26</v>
      </c>
      <c r="J232" s="386">
        <f t="shared" si="406"/>
        <v>15.32</v>
      </c>
      <c r="K232" s="386">
        <f t="shared" si="407"/>
        <v>41.32</v>
      </c>
      <c r="L232" s="386"/>
      <c r="M232" s="191">
        <f t="shared" si="408"/>
        <v>0.37076476282671827</v>
      </c>
      <c r="N232" s="152">
        <f t="shared" si="409"/>
        <v>3.3254522666886368</v>
      </c>
      <c r="O232" s="152">
        <f t="shared" si="363"/>
        <v>0.24</v>
      </c>
      <c r="P232" s="191">
        <f t="shared" si="410"/>
        <v>0.22169681777924247</v>
      </c>
      <c r="Q232" s="191">
        <f t="shared" si="411"/>
        <v>15</v>
      </c>
      <c r="R232" s="191"/>
      <c r="S232" s="152">
        <f t="shared" si="412"/>
        <v>522.45341511687366</v>
      </c>
      <c r="T232" s="152">
        <f t="shared" si="413"/>
        <v>15</v>
      </c>
      <c r="U232" s="191">
        <f t="shared" si="414"/>
        <v>5.5325701278703884E-2</v>
      </c>
      <c r="V232" s="191">
        <f t="shared" si="415"/>
        <v>0.10001184461919549</v>
      </c>
      <c r="W232" s="191">
        <f t="shared" si="416"/>
        <v>0.16973289556782523</v>
      </c>
      <c r="X232" s="175">
        <f t="shared" si="417"/>
        <v>350</v>
      </c>
      <c r="Y232" s="386">
        <f t="shared" si="418"/>
        <v>350</v>
      </c>
      <c r="AA232" s="191">
        <f t="shared" si="419"/>
        <v>0.58601117528843016</v>
      </c>
      <c r="AB232" s="153">
        <f t="shared" si="420"/>
        <v>1.7978149633522333</v>
      </c>
      <c r="AC232" s="153">
        <f t="shared" si="421"/>
        <v>0.18436944043440445</v>
      </c>
      <c r="AD232" s="153"/>
      <c r="AE232" s="153">
        <f t="shared" si="422"/>
        <v>0.46018276762402083</v>
      </c>
      <c r="AF232" s="317">
        <f t="shared" si="423"/>
        <v>463.58392434988195</v>
      </c>
      <c r="AG232" s="463">
        <f t="shared" si="424"/>
        <v>1.2079797650130546E-2</v>
      </c>
      <c r="AI232" s="153">
        <f t="shared" si="425"/>
        <v>0.17263204716450153</v>
      </c>
      <c r="AJ232" s="153">
        <f t="shared" si="426"/>
        <v>0.17263204716450153</v>
      </c>
      <c r="AK232" s="153">
        <f t="shared" si="427"/>
        <v>1.215088031443001</v>
      </c>
      <c r="AM232" s="317">
        <f t="shared" si="428"/>
        <v>16</v>
      </c>
      <c r="AN232" s="147">
        <f t="shared" si="429"/>
        <v>350</v>
      </c>
      <c r="AP232">
        <f t="shared" si="430"/>
        <v>16</v>
      </c>
      <c r="AQ232">
        <f t="shared" si="431"/>
        <v>350</v>
      </c>
      <c r="AS232" s="5">
        <f t="shared" si="364"/>
        <v>2.8571428571428572</v>
      </c>
      <c r="AT232" s="5">
        <f t="shared" si="432"/>
        <v>0.31206562372044505</v>
      </c>
      <c r="AU232" s="5">
        <f t="shared" si="304"/>
        <v>2.5450772334224121</v>
      </c>
      <c r="AV232" s="5"/>
      <c r="AW232" s="153">
        <f t="shared" si="305"/>
        <v>0.10922296830215576</v>
      </c>
      <c r="AX232" s="153"/>
      <c r="BA232" s="147">
        <f t="shared" si="433"/>
        <v>2.7597754264171033</v>
      </c>
      <c r="BB232" s="147">
        <f t="shared" si="434"/>
        <v>0.23833399441420117</v>
      </c>
      <c r="BC232" s="5">
        <f t="shared" si="359"/>
        <v>3.4804474986973158E-2</v>
      </c>
      <c r="BD232" s="147">
        <f t="shared" si="435"/>
        <v>0</v>
      </c>
      <c r="BQ232" s="463">
        <f t="shared" si="436"/>
        <v>6.1120000000000002E-3</v>
      </c>
      <c r="CG232" s="59">
        <f t="shared" si="437"/>
        <v>-50</v>
      </c>
      <c r="CH232">
        <f t="shared" si="438"/>
        <v>-50</v>
      </c>
    </row>
    <row r="233" spans="5:86" x14ac:dyDescent="0.25">
      <c r="E233" s="150">
        <v>17</v>
      </c>
      <c r="F233" s="191">
        <f t="shared" si="439"/>
        <v>1.7000000000000001E-2</v>
      </c>
      <c r="G233" s="191"/>
      <c r="H233" s="191">
        <f t="shared" si="404"/>
        <v>0.255</v>
      </c>
      <c r="I233" s="472">
        <f t="shared" si="405"/>
        <v>26</v>
      </c>
      <c r="J233" s="386">
        <f t="shared" si="406"/>
        <v>15.32</v>
      </c>
      <c r="K233" s="386">
        <f t="shared" si="407"/>
        <v>41.32</v>
      </c>
      <c r="L233" s="386"/>
      <c r="M233" s="191">
        <f t="shared" si="408"/>
        <v>0.37076476282671827</v>
      </c>
      <c r="N233" s="152">
        <f t="shared" si="409"/>
        <v>3.3254522666886368</v>
      </c>
      <c r="O233" s="152">
        <f t="shared" si="363"/>
        <v>0.255</v>
      </c>
      <c r="P233" s="191">
        <f t="shared" si="410"/>
        <v>0.22169681777924247</v>
      </c>
      <c r="Q233" s="191">
        <f t="shared" si="411"/>
        <v>15</v>
      </c>
      <c r="R233" s="191"/>
      <c r="S233" s="152">
        <f t="shared" si="412"/>
        <v>490.19343240711788</v>
      </c>
      <c r="T233" s="152">
        <f t="shared" si="413"/>
        <v>15</v>
      </c>
      <c r="U233" s="191">
        <f t="shared" si="414"/>
        <v>5.8783557608622881E-2</v>
      </c>
      <c r="V233" s="191">
        <f t="shared" si="415"/>
        <v>0.1062625849078952</v>
      </c>
      <c r="W233" s="191">
        <f t="shared" si="416"/>
        <v>0.18034120154081429</v>
      </c>
      <c r="X233" s="175">
        <f t="shared" si="417"/>
        <v>350</v>
      </c>
      <c r="Y233" s="386">
        <f t="shared" si="418"/>
        <v>350</v>
      </c>
      <c r="AA233" s="191">
        <f t="shared" si="419"/>
        <v>0.58601117528843016</v>
      </c>
      <c r="AB233" s="153">
        <f t="shared" si="420"/>
        <v>1.7978149633522333</v>
      </c>
      <c r="AC233" s="153">
        <f t="shared" si="421"/>
        <v>0.18436944043440445</v>
      </c>
      <c r="AD233" s="153"/>
      <c r="AE233" s="153">
        <f t="shared" si="422"/>
        <v>0.46018276762402083</v>
      </c>
      <c r="AF233" s="317">
        <f t="shared" si="423"/>
        <v>492.55791962174953</v>
      </c>
      <c r="AG233" s="463">
        <f t="shared" si="424"/>
        <v>1.2079797650130546E-2</v>
      </c>
      <c r="AI233" s="153">
        <f t="shared" si="425"/>
        <v>0.1779450412064624</v>
      </c>
      <c r="AJ233" s="153">
        <f t="shared" si="426"/>
        <v>0.1779450412064624</v>
      </c>
      <c r="AK233" s="153">
        <f t="shared" si="427"/>
        <v>1.2186300274709749</v>
      </c>
      <c r="AM233" s="317">
        <f t="shared" si="428"/>
        <v>17</v>
      </c>
      <c r="AN233" s="147">
        <f t="shared" si="429"/>
        <v>350</v>
      </c>
      <c r="AP233">
        <f t="shared" si="430"/>
        <v>17</v>
      </c>
      <c r="AQ233">
        <f t="shared" si="431"/>
        <v>350</v>
      </c>
      <c r="AS233" s="5">
        <f t="shared" si="364"/>
        <v>2.8571428571428572</v>
      </c>
      <c r="AT233" s="5">
        <f t="shared" si="432"/>
        <v>0.3216698821809128</v>
      </c>
      <c r="AU233" s="5">
        <f t="shared" si="304"/>
        <v>2.5354729749619445</v>
      </c>
      <c r="AV233" s="5"/>
      <c r="AW233" s="153">
        <f t="shared" si="305"/>
        <v>0.11258445876331948</v>
      </c>
      <c r="AX233" s="153"/>
      <c r="BA233" s="147">
        <f t="shared" si="433"/>
        <v>2.7597754264171033</v>
      </c>
      <c r="BB233" s="147">
        <f t="shared" si="434"/>
        <v>0.26586923588165678</v>
      </c>
      <c r="BC233" s="5">
        <f t="shared" si="359"/>
        <v>3.6840205619105178E-2</v>
      </c>
      <c r="BD233" s="147">
        <f t="shared" si="435"/>
        <v>0</v>
      </c>
      <c r="BQ233" s="463">
        <f t="shared" si="436"/>
        <v>6.4939999999999998E-3</v>
      </c>
      <c r="CG233" s="59">
        <f t="shared" si="437"/>
        <v>-50</v>
      </c>
      <c r="CH233">
        <f t="shared" si="438"/>
        <v>-50</v>
      </c>
    </row>
    <row r="234" spans="5:86" x14ac:dyDescent="0.25">
      <c r="E234" s="150">
        <v>18</v>
      </c>
      <c r="F234" s="191">
        <f t="shared" si="439"/>
        <v>1.7999999999999999E-2</v>
      </c>
      <c r="G234" s="191"/>
      <c r="H234" s="191">
        <f t="shared" si="404"/>
        <v>0.26999999999999996</v>
      </c>
      <c r="I234" s="472">
        <f t="shared" si="405"/>
        <v>26</v>
      </c>
      <c r="J234" s="386">
        <f t="shared" si="406"/>
        <v>15.32</v>
      </c>
      <c r="K234" s="386">
        <f t="shared" si="407"/>
        <v>41.32</v>
      </c>
      <c r="L234" s="386"/>
      <c r="M234" s="191">
        <f t="shared" si="408"/>
        <v>0.37076476282671827</v>
      </c>
      <c r="N234" s="152">
        <f t="shared" si="409"/>
        <v>3.3254522666886368</v>
      </c>
      <c r="O234" s="152">
        <f t="shared" si="363"/>
        <v>0.26999999999999996</v>
      </c>
      <c r="P234" s="191">
        <f t="shared" si="410"/>
        <v>0.22169681777924247</v>
      </c>
      <c r="Q234" s="191">
        <f t="shared" si="411"/>
        <v>15</v>
      </c>
      <c r="R234" s="191"/>
      <c r="S234" s="152">
        <f t="shared" si="412"/>
        <v>461.51801497436389</v>
      </c>
      <c r="T234" s="152">
        <f t="shared" si="413"/>
        <v>15</v>
      </c>
      <c r="U234" s="191">
        <f t="shared" si="414"/>
        <v>6.2241413938541865E-2</v>
      </c>
      <c r="V234" s="191">
        <f t="shared" si="415"/>
        <v>0.11251332519659492</v>
      </c>
      <c r="W234" s="191">
        <f t="shared" si="416"/>
        <v>0.19094950751380338</v>
      </c>
      <c r="X234" s="175">
        <f t="shared" si="417"/>
        <v>350</v>
      </c>
      <c r="Y234" s="386">
        <f t="shared" si="418"/>
        <v>350</v>
      </c>
      <c r="AA234" s="191">
        <f t="shared" si="419"/>
        <v>0.58601117528843016</v>
      </c>
      <c r="AB234" s="153">
        <f t="shared" si="420"/>
        <v>1.7978149633522333</v>
      </c>
      <c r="AC234" s="153">
        <f t="shared" si="421"/>
        <v>0.18436944043440445</v>
      </c>
      <c r="AD234" s="153"/>
      <c r="AE234" s="153">
        <f t="shared" si="422"/>
        <v>0.46018276762402083</v>
      </c>
      <c r="AF234" s="317">
        <f t="shared" si="423"/>
        <v>521.53191489361711</v>
      </c>
      <c r="AG234" s="463">
        <f t="shared" si="424"/>
        <v>1.2079797650130546E-2</v>
      </c>
      <c r="AI234" s="153">
        <f t="shared" si="425"/>
        <v>0.1831039368002024</v>
      </c>
      <c r="AJ234" s="153">
        <f t="shared" si="426"/>
        <v>0.1831039368002024</v>
      </c>
      <c r="AK234" s="153">
        <f t="shared" si="427"/>
        <v>1.222069291200135</v>
      </c>
      <c r="AM234" s="317">
        <f t="shared" si="428"/>
        <v>18</v>
      </c>
      <c r="AN234" s="147">
        <f t="shared" si="429"/>
        <v>350</v>
      </c>
      <c r="AP234">
        <f t="shared" si="430"/>
        <v>18</v>
      </c>
      <c r="AQ234">
        <f t="shared" si="431"/>
        <v>350</v>
      </c>
      <c r="AS234" s="5">
        <f t="shared" si="364"/>
        <v>2.8571428571428572</v>
      </c>
      <c r="AT234" s="5">
        <f t="shared" si="432"/>
        <v>0.33099557806190433</v>
      </c>
      <c r="AU234" s="5">
        <f t="shared" ref="AU234:AU297" si="440">AS234-AT234</f>
        <v>2.5261472790809529</v>
      </c>
      <c r="AV234" s="5"/>
      <c r="AW234" s="153">
        <f t="shared" ref="AW234:AW297" si="441">AT234/AS234</f>
        <v>0.11584845232166652</v>
      </c>
      <c r="AX234" s="153"/>
      <c r="BA234" s="147">
        <f t="shared" si="433"/>
        <v>2.7597754264171033</v>
      </c>
      <c r="BB234" s="147">
        <f t="shared" si="434"/>
        <v>0.29489146168047331</v>
      </c>
      <c r="BC234" s="5">
        <f t="shared" si="359"/>
        <v>3.8863804293553114E-2</v>
      </c>
      <c r="BD234" s="147">
        <f t="shared" si="435"/>
        <v>0</v>
      </c>
      <c r="BQ234" s="463">
        <f t="shared" si="436"/>
        <v>6.8759999999999993E-3</v>
      </c>
      <c r="CG234" s="59">
        <f t="shared" si="437"/>
        <v>-50</v>
      </c>
      <c r="CH234">
        <f t="shared" si="438"/>
        <v>-50</v>
      </c>
    </row>
    <row r="235" spans="5:86" x14ac:dyDescent="0.25">
      <c r="E235" s="150">
        <v>19</v>
      </c>
      <c r="F235" s="191">
        <f t="shared" si="439"/>
        <v>1.9000000000000003E-2</v>
      </c>
      <c r="G235" s="191"/>
      <c r="H235" s="191">
        <f t="shared" si="404"/>
        <v>0.28500000000000003</v>
      </c>
      <c r="I235" s="472">
        <f t="shared" si="405"/>
        <v>26</v>
      </c>
      <c r="J235" s="386">
        <f t="shared" si="406"/>
        <v>15.32</v>
      </c>
      <c r="K235" s="386">
        <f t="shared" si="407"/>
        <v>41.32</v>
      </c>
      <c r="L235" s="386"/>
      <c r="M235" s="191">
        <f t="shared" si="408"/>
        <v>0.37076476282671827</v>
      </c>
      <c r="N235" s="152">
        <f t="shared" si="409"/>
        <v>3.3254522666886368</v>
      </c>
      <c r="O235" s="152">
        <f t="shared" si="363"/>
        <v>0.28500000000000003</v>
      </c>
      <c r="P235" s="191">
        <f t="shared" si="410"/>
        <v>0.22169681777924247</v>
      </c>
      <c r="Q235" s="191">
        <f t="shared" si="411"/>
        <v>15</v>
      </c>
      <c r="R235" s="191"/>
      <c r="S235" s="152">
        <f t="shared" si="412"/>
        <v>435.86117990549292</v>
      </c>
      <c r="T235" s="152">
        <f t="shared" si="413"/>
        <v>15</v>
      </c>
      <c r="U235" s="191">
        <f t="shared" si="414"/>
        <v>6.5699270268460869E-2</v>
      </c>
      <c r="V235" s="191">
        <f t="shared" si="415"/>
        <v>0.11876406548529464</v>
      </c>
      <c r="W235" s="191">
        <f t="shared" si="416"/>
        <v>0.20155781348679247</v>
      </c>
      <c r="X235" s="175">
        <f t="shared" si="417"/>
        <v>350</v>
      </c>
      <c r="Y235" s="386">
        <f t="shared" si="418"/>
        <v>350</v>
      </c>
      <c r="AA235" s="191">
        <f t="shared" si="419"/>
        <v>0.58601117528843016</v>
      </c>
      <c r="AB235" s="153">
        <f t="shared" si="420"/>
        <v>1.7978149633522333</v>
      </c>
      <c r="AC235" s="153">
        <f t="shared" si="421"/>
        <v>0.18436944043440445</v>
      </c>
      <c r="AD235" s="153"/>
      <c r="AE235" s="153">
        <f t="shared" si="422"/>
        <v>0.46018276762402083</v>
      </c>
      <c r="AF235" s="317">
        <f t="shared" si="423"/>
        <v>550.50591016548492</v>
      </c>
      <c r="AG235" s="463">
        <f t="shared" si="424"/>
        <v>1.2079797650130546E-2</v>
      </c>
      <c r="AI235" s="153">
        <f t="shared" si="425"/>
        <v>0.18812141200165239</v>
      </c>
      <c r="AJ235" s="153">
        <f t="shared" si="426"/>
        <v>0.18812141200165239</v>
      </c>
      <c r="AK235" s="153">
        <f t="shared" si="427"/>
        <v>1.2254142746677683</v>
      </c>
      <c r="AM235" s="317">
        <f t="shared" si="428"/>
        <v>19.000000000000004</v>
      </c>
      <c r="AN235" s="147">
        <f t="shared" si="429"/>
        <v>350</v>
      </c>
      <c r="AP235">
        <f t="shared" si="430"/>
        <v>19.000000000000004</v>
      </c>
      <c r="AQ235">
        <f t="shared" si="431"/>
        <v>350</v>
      </c>
      <c r="AS235" s="5">
        <f t="shared" si="364"/>
        <v>2.8571428571428572</v>
      </c>
      <c r="AT235" s="5">
        <f t="shared" si="432"/>
        <v>0.34006562938760238</v>
      </c>
      <c r="AU235" s="5">
        <f t="shared" si="440"/>
        <v>2.5170772277552547</v>
      </c>
      <c r="AV235" s="5"/>
      <c r="AW235" s="153">
        <f t="shared" si="441"/>
        <v>0.11902297028566083</v>
      </c>
      <c r="AX235" s="153"/>
      <c r="BA235" s="147">
        <f t="shared" si="433"/>
        <v>2.7597754264171033</v>
      </c>
      <c r="BB235" s="147">
        <f t="shared" si="434"/>
        <v>0.32540067181065091</v>
      </c>
      <c r="BC235" s="5">
        <f t="shared" si="359"/>
        <v>4.0875613100299017E-2</v>
      </c>
      <c r="BD235" s="147">
        <f t="shared" si="435"/>
        <v>0</v>
      </c>
      <c r="BQ235" s="463">
        <f t="shared" si="436"/>
        <v>7.2580000000000014E-3</v>
      </c>
      <c r="CG235" s="59">
        <f t="shared" si="437"/>
        <v>-50</v>
      </c>
      <c r="CH235">
        <f t="shared" si="438"/>
        <v>-50</v>
      </c>
    </row>
    <row r="236" spans="5:86" x14ac:dyDescent="0.25">
      <c r="E236" s="150">
        <v>20</v>
      </c>
      <c r="F236" s="191">
        <f t="shared" si="439"/>
        <v>2.0000000000000004E-2</v>
      </c>
      <c r="G236" s="191"/>
      <c r="H236" s="191">
        <f t="shared" si="404"/>
        <v>0.30000000000000004</v>
      </c>
      <c r="I236" s="472">
        <f t="shared" si="405"/>
        <v>26</v>
      </c>
      <c r="J236" s="386">
        <f t="shared" si="406"/>
        <v>15.32</v>
      </c>
      <c r="K236" s="386">
        <f t="shared" si="407"/>
        <v>41.32</v>
      </c>
      <c r="L236" s="386"/>
      <c r="M236" s="191">
        <f t="shared" si="408"/>
        <v>0.37076476282671827</v>
      </c>
      <c r="N236" s="152">
        <f t="shared" si="409"/>
        <v>3.3254522666886368</v>
      </c>
      <c r="O236" s="152">
        <f t="shared" si="363"/>
        <v>0.30000000000000004</v>
      </c>
      <c r="P236" s="191">
        <f t="shared" si="410"/>
        <v>0.22169681777924247</v>
      </c>
      <c r="Q236" s="191">
        <f t="shared" si="411"/>
        <v>15</v>
      </c>
      <c r="R236" s="191"/>
      <c r="S236" s="152">
        <f t="shared" si="412"/>
        <v>412.77014088252548</v>
      </c>
      <c r="T236" s="152">
        <f t="shared" si="413"/>
        <v>15</v>
      </c>
      <c r="U236" s="191">
        <f t="shared" si="414"/>
        <v>6.9157126598379873E-2</v>
      </c>
      <c r="V236" s="191">
        <f t="shared" si="415"/>
        <v>0.12501480577399438</v>
      </c>
      <c r="W236" s="191">
        <f t="shared" si="416"/>
        <v>0.21216611945978156</v>
      </c>
      <c r="X236" s="175">
        <f t="shared" si="417"/>
        <v>350</v>
      </c>
      <c r="Y236" s="386">
        <f t="shared" si="418"/>
        <v>350</v>
      </c>
      <c r="AA236" s="191">
        <f t="shared" si="419"/>
        <v>0.58601117528843016</v>
      </c>
      <c r="AB236" s="153">
        <f t="shared" si="420"/>
        <v>1.7978149633522333</v>
      </c>
      <c r="AC236" s="153">
        <f t="shared" si="421"/>
        <v>0.18436944043440445</v>
      </c>
      <c r="AD236" s="153"/>
      <c r="AE236" s="153">
        <f t="shared" si="422"/>
        <v>0.46018276762402083</v>
      </c>
      <c r="AF236" s="317">
        <f t="shared" si="423"/>
        <v>579.4799054373525</v>
      </c>
      <c r="AG236" s="463">
        <f t="shared" si="424"/>
        <v>1.2079797650130546E-2</v>
      </c>
      <c r="AI236" s="153">
        <f t="shared" si="425"/>
        <v>0.19300849627738767</v>
      </c>
      <c r="AJ236" s="153">
        <f t="shared" si="426"/>
        <v>0.19300849627738767</v>
      </c>
      <c r="AK236" s="153">
        <f t="shared" si="427"/>
        <v>1.2286723308515917</v>
      </c>
      <c r="AM236" s="317">
        <f t="shared" si="428"/>
        <v>20.000000000000004</v>
      </c>
      <c r="AN236" s="147">
        <f t="shared" si="429"/>
        <v>350</v>
      </c>
      <c r="AP236">
        <f t="shared" si="430"/>
        <v>20.000000000000004</v>
      </c>
      <c r="AQ236">
        <f t="shared" si="431"/>
        <v>350</v>
      </c>
      <c r="AS236" s="5">
        <f t="shared" si="364"/>
        <v>2.8571428571428572</v>
      </c>
      <c r="AT236" s="5">
        <f t="shared" si="432"/>
        <v>0.34889997403989303</v>
      </c>
      <c r="AU236" s="5">
        <f t="shared" si="440"/>
        <v>2.5082428831029642</v>
      </c>
      <c r="AV236" s="5"/>
      <c r="AW236" s="153">
        <f t="shared" si="441"/>
        <v>0.12211499091396257</v>
      </c>
      <c r="AX236" s="153"/>
      <c r="BA236" s="147">
        <f t="shared" si="433"/>
        <v>2.7597754264171033</v>
      </c>
      <c r="BB236" s="147">
        <f t="shared" si="434"/>
        <v>0.35739686627218936</v>
      </c>
      <c r="BC236" s="5">
        <f t="shared" si="359"/>
        <v>4.2875946719708791E-2</v>
      </c>
      <c r="BD236" s="147">
        <f t="shared" si="435"/>
        <v>0</v>
      </c>
      <c r="BQ236" s="463">
        <f t="shared" si="436"/>
        <v>7.6400000000000018E-3</v>
      </c>
      <c r="CG236" s="59">
        <f t="shared" si="437"/>
        <v>-50</v>
      </c>
      <c r="CH236">
        <f t="shared" si="438"/>
        <v>-50</v>
      </c>
    </row>
    <row r="237" spans="5:86" x14ac:dyDescent="0.25">
      <c r="E237" s="150">
        <v>21</v>
      </c>
      <c r="F237" s="191">
        <f t="shared" si="439"/>
        <v>2.1000000000000001E-2</v>
      </c>
      <c r="G237" s="191"/>
      <c r="H237" s="191">
        <f t="shared" si="404"/>
        <v>0.315</v>
      </c>
      <c r="I237" s="472">
        <f t="shared" si="405"/>
        <v>26</v>
      </c>
      <c r="J237" s="386">
        <f t="shared" si="406"/>
        <v>15.32</v>
      </c>
      <c r="K237" s="386">
        <f t="shared" si="407"/>
        <v>41.32</v>
      </c>
      <c r="L237" s="386"/>
      <c r="M237" s="191">
        <f t="shared" si="408"/>
        <v>0.37076476282671827</v>
      </c>
      <c r="N237" s="152">
        <f t="shared" si="409"/>
        <v>3.3254522666886368</v>
      </c>
      <c r="O237" s="152">
        <f t="shared" si="363"/>
        <v>0.315</v>
      </c>
      <c r="P237" s="191">
        <f t="shared" si="410"/>
        <v>0.22169681777924247</v>
      </c>
      <c r="Q237" s="191">
        <f t="shared" si="411"/>
        <v>15</v>
      </c>
      <c r="R237" s="191"/>
      <c r="S237" s="152">
        <f t="shared" si="412"/>
        <v>391.87835661252899</v>
      </c>
      <c r="T237" s="152">
        <f t="shared" si="413"/>
        <v>15</v>
      </c>
      <c r="U237" s="191">
        <f t="shared" si="414"/>
        <v>7.2614982928298849E-2</v>
      </c>
      <c r="V237" s="191">
        <f t="shared" si="415"/>
        <v>0.13126554606269408</v>
      </c>
      <c r="W237" s="191">
        <f t="shared" si="416"/>
        <v>0.22277442543277062</v>
      </c>
      <c r="X237" s="175">
        <f t="shared" si="417"/>
        <v>350</v>
      </c>
      <c r="Y237" s="386">
        <f t="shared" si="418"/>
        <v>350</v>
      </c>
      <c r="AA237" s="191">
        <f t="shared" si="419"/>
        <v>0.58601117528843016</v>
      </c>
      <c r="AB237" s="153">
        <f t="shared" si="420"/>
        <v>1.7978149633522333</v>
      </c>
      <c r="AC237" s="153">
        <f t="shared" si="421"/>
        <v>0.18436944043440445</v>
      </c>
      <c r="AD237" s="153"/>
      <c r="AE237" s="153">
        <f t="shared" si="422"/>
        <v>0.46018276762402083</v>
      </c>
      <c r="AF237" s="317">
        <f t="shared" si="423"/>
        <v>608.45390070922008</v>
      </c>
      <c r="AG237" s="463">
        <f t="shared" si="424"/>
        <v>1.2079797650130546E-2</v>
      </c>
      <c r="AI237" s="153">
        <f t="shared" si="425"/>
        <v>0.19777485587662877</v>
      </c>
      <c r="AJ237" s="153">
        <f t="shared" si="426"/>
        <v>0.19777485587662877</v>
      </c>
      <c r="AK237" s="153">
        <f t="shared" si="427"/>
        <v>1.2318499039177524</v>
      </c>
      <c r="AM237" s="317">
        <f t="shared" si="428"/>
        <v>21</v>
      </c>
      <c r="AN237" s="147">
        <f t="shared" si="429"/>
        <v>350</v>
      </c>
      <c r="AP237">
        <f t="shared" si="430"/>
        <v>21</v>
      </c>
      <c r="AQ237">
        <f t="shared" si="431"/>
        <v>350</v>
      </c>
      <c r="AS237" s="5">
        <f t="shared" si="364"/>
        <v>2.8571428571428572</v>
      </c>
      <c r="AT237" s="5">
        <f t="shared" si="432"/>
        <v>0.35751608562313658</v>
      </c>
      <c r="AU237" s="5">
        <f t="shared" si="440"/>
        <v>2.4996267715197207</v>
      </c>
      <c r="AV237" s="5"/>
      <c r="AW237" s="153">
        <f t="shared" si="441"/>
        <v>0.12513062996809779</v>
      </c>
      <c r="AX237" s="153"/>
      <c r="BA237" s="147">
        <f t="shared" si="433"/>
        <v>2.7597754264171033</v>
      </c>
      <c r="BB237" s="147">
        <f t="shared" si="434"/>
        <v>0.39088004506508872</v>
      </c>
      <c r="BC237" s="5">
        <f t="shared" si="359"/>
        <v>4.4865095899071901E-2</v>
      </c>
      <c r="BD237" s="147">
        <f t="shared" si="435"/>
        <v>0</v>
      </c>
      <c r="BQ237" s="463">
        <f t="shared" si="436"/>
        <v>8.0220000000000014E-3</v>
      </c>
      <c r="CG237" s="59">
        <f t="shared" si="437"/>
        <v>-50</v>
      </c>
      <c r="CH237">
        <f t="shared" si="438"/>
        <v>-50</v>
      </c>
    </row>
    <row r="238" spans="5:86" x14ac:dyDescent="0.25">
      <c r="E238" s="150">
        <v>22</v>
      </c>
      <c r="F238" s="191">
        <f t="shared" si="439"/>
        <v>2.2000000000000002E-2</v>
      </c>
      <c r="G238" s="191"/>
      <c r="H238" s="191">
        <f t="shared" si="404"/>
        <v>0.33</v>
      </c>
      <c r="I238" s="472">
        <f t="shared" si="405"/>
        <v>26</v>
      </c>
      <c r="J238" s="386">
        <f t="shared" si="406"/>
        <v>15.32</v>
      </c>
      <c r="K238" s="386">
        <f t="shared" si="407"/>
        <v>41.32</v>
      </c>
      <c r="L238" s="386"/>
      <c r="M238" s="191">
        <f t="shared" si="408"/>
        <v>0.37076476282671827</v>
      </c>
      <c r="N238" s="152">
        <f t="shared" si="409"/>
        <v>3.3254522666886368</v>
      </c>
      <c r="O238" s="152">
        <f t="shared" si="363"/>
        <v>0.33</v>
      </c>
      <c r="P238" s="191">
        <f t="shared" si="410"/>
        <v>0.22169681777924247</v>
      </c>
      <c r="Q238" s="191">
        <f t="shared" si="411"/>
        <v>15</v>
      </c>
      <c r="R238" s="191"/>
      <c r="S238" s="152">
        <f t="shared" si="412"/>
        <v>372.88592968573607</v>
      </c>
      <c r="T238" s="152">
        <f t="shared" si="413"/>
        <v>15</v>
      </c>
      <c r="U238" s="191">
        <f t="shared" si="414"/>
        <v>7.6072839258217839E-2</v>
      </c>
      <c r="V238" s="191">
        <f t="shared" si="415"/>
        <v>0.13751628635139379</v>
      </c>
      <c r="W238" s="191">
        <f t="shared" si="416"/>
        <v>0.23338273140575969</v>
      </c>
      <c r="X238" s="175">
        <f t="shared" si="417"/>
        <v>350</v>
      </c>
      <c r="Y238" s="386">
        <f t="shared" si="418"/>
        <v>350</v>
      </c>
      <c r="AA238" s="191">
        <f t="shared" si="419"/>
        <v>0.58601117528843016</v>
      </c>
      <c r="AB238" s="153">
        <f t="shared" si="420"/>
        <v>1.7978149633522333</v>
      </c>
      <c r="AC238" s="153">
        <f t="shared" si="421"/>
        <v>0.18436944043440445</v>
      </c>
      <c r="AD238" s="153"/>
      <c r="AE238" s="153">
        <f t="shared" si="422"/>
        <v>0.46018276762402083</v>
      </c>
      <c r="AF238" s="317">
        <f t="shared" si="423"/>
        <v>637.42789598108766</v>
      </c>
      <c r="AG238" s="463">
        <f t="shared" si="424"/>
        <v>1.2079797650130546E-2</v>
      </c>
      <c r="AI238" s="153">
        <f t="shared" si="425"/>
        <v>0.20242901866773994</v>
      </c>
      <c r="AJ238" s="153">
        <f t="shared" si="426"/>
        <v>0.20242901866773994</v>
      </c>
      <c r="AK238" s="153">
        <f t="shared" si="427"/>
        <v>1.2349526791118266</v>
      </c>
      <c r="AM238" s="317">
        <f t="shared" si="428"/>
        <v>22.000000000000004</v>
      </c>
      <c r="AN238" s="147">
        <f t="shared" si="429"/>
        <v>350</v>
      </c>
      <c r="AP238">
        <f t="shared" si="430"/>
        <v>22.000000000000004</v>
      </c>
      <c r="AQ238">
        <f t="shared" si="431"/>
        <v>350</v>
      </c>
      <c r="AS238" s="5">
        <f t="shared" si="364"/>
        <v>2.8571428571428572</v>
      </c>
      <c r="AT238" s="5">
        <f t="shared" si="432"/>
        <v>0.36592937989937602</v>
      </c>
      <c r="AU238" s="5">
        <f t="shared" si="440"/>
        <v>2.4912134772434813</v>
      </c>
      <c r="AV238" s="5"/>
      <c r="AW238" s="153">
        <f t="shared" si="441"/>
        <v>0.1280752829647816</v>
      </c>
      <c r="AX238" s="153"/>
      <c r="BA238" s="147">
        <f t="shared" si="433"/>
        <v>2.7597754264171033</v>
      </c>
      <c r="BB238" s="147">
        <f t="shared" si="434"/>
        <v>0.42585020818934916</v>
      </c>
      <c r="BC238" s="5">
        <f t="shared" si="359"/>
        <v>4.6843330341330425E-2</v>
      </c>
      <c r="BD238" s="147">
        <f t="shared" si="435"/>
        <v>0</v>
      </c>
      <c r="BQ238" s="463">
        <f t="shared" si="436"/>
        <v>8.404E-3</v>
      </c>
      <c r="CG238" s="59">
        <f t="shared" si="437"/>
        <v>-50</v>
      </c>
      <c r="CH238">
        <f t="shared" si="438"/>
        <v>-50</v>
      </c>
    </row>
    <row r="239" spans="5:86" x14ac:dyDescent="0.25">
      <c r="E239" s="150">
        <v>23</v>
      </c>
      <c r="F239" s="191">
        <f t="shared" si="439"/>
        <v>2.3000000000000003E-2</v>
      </c>
      <c r="G239" s="191"/>
      <c r="H239" s="191">
        <f t="shared" si="404"/>
        <v>0.34500000000000003</v>
      </c>
      <c r="I239" s="472">
        <f t="shared" si="405"/>
        <v>26</v>
      </c>
      <c r="J239" s="386">
        <f t="shared" si="406"/>
        <v>15.32</v>
      </c>
      <c r="K239" s="386">
        <f t="shared" si="407"/>
        <v>41.32</v>
      </c>
      <c r="L239" s="386"/>
      <c r="M239" s="191">
        <f t="shared" si="408"/>
        <v>0.37076476282671827</v>
      </c>
      <c r="N239" s="152">
        <f t="shared" si="409"/>
        <v>3.3254522666886368</v>
      </c>
      <c r="O239" s="152">
        <f t="shared" si="363"/>
        <v>0.34500000000000003</v>
      </c>
      <c r="P239" s="191">
        <f t="shared" si="410"/>
        <v>0.22169681777924247</v>
      </c>
      <c r="Q239" s="191">
        <f t="shared" si="411"/>
        <v>15</v>
      </c>
      <c r="R239" s="191"/>
      <c r="S239" s="152">
        <f t="shared" si="412"/>
        <v>355.54511877502779</v>
      </c>
      <c r="T239" s="152">
        <f t="shared" si="413"/>
        <v>15</v>
      </c>
      <c r="U239" s="191">
        <f t="shared" si="414"/>
        <v>7.9530695588136843E-2</v>
      </c>
      <c r="V239" s="191">
        <f t="shared" si="415"/>
        <v>0.14376702664009353</v>
      </c>
      <c r="W239" s="191">
        <f t="shared" si="416"/>
        <v>0.24399103737874878</v>
      </c>
      <c r="X239" s="175">
        <f t="shared" si="417"/>
        <v>350</v>
      </c>
      <c r="Y239" s="386">
        <f t="shared" si="418"/>
        <v>350</v>
      </c>
      <c r="AA239" s="191">
        <f t="shared" si="419"/>
        <v>0.58601117528843016</v>
      </c>
      <c r="AB239" s="153">
        <f t="shared" si="420"/>
        <v>1.7978149633522333</v>
      </c>
      <c r="AC239" s="153">
        <f t="shared" si="421"/>
        <v>0.18436944043440445</v>
      </c>
      <c r="AD239" s="153"/>
      <c r="AE239" s="153">
        <f t="shared" si="422"/>
        <v>0.46018276762402083</v>
      </c>
      <c r="AF239" s="317">
        <f t="shared" si="423"/>
        <v>666.40189125295535</v>
      </c>
      <c r="AG239" s="463">
        <f t="shared" si="424"/>
        <v>1.2079797650130546E-2</v>
      </c>
      <c r="AI239" s="153">
        <f t="shared" si="425"/>
        <v>0.20697855343138116</v>
      </c>
      <c r="AJ239" s="153">
        <f t="shared" si="426"/>
        <v>0.20697855343138116</v>
      </c>
      <c r="AK239" s="153">
        <f t="shared" si="427"/>
        <v>1.2379857022875873</v>
      </c>
      <c r="AM239" s="317">
        <f t="shared" si="428"/>
        <v>23.000000000000004</v>
      </c>
      <c r="AN239" s="147">
        <f t="shared" si="429"/>
        <v>350</v>
      </c>
      <c r="AP239">
        <f t="shared" si="430"/>
        <v>23.000000000000004</v>
      </c>
      <c r="AQ239">
        <f t="shared" si="431"/>
        <v>350</v>
      </c>
      <c r="AS239" s="5">
        <f t="shared" si="364"/>
        <v>2.8571428571428572</v>
      </c>
      <c r="AT239" s="5">
        <f t="shared" si="432"/>
        <v>0.37415353889518899</v>
      </c>
      <c r="AU239" s="5">
        <f t="shared" si="440"/>
        <v>2.4829893182476681</v>
      </c>
      <c r="AV239" s="5"/>
      <c r="AW239" s="153">
        <f t="shared" si="441"/>
        <v>0.13095373861331613</v>
      </c>
      <c r="AX239" s="153"/>
      <c r="BA239" s="147">
        <f t="shared" si="433"/>
        <v>2.7597754264171033</v>
      </c>
      <c r="BB239" s="147">
        <f t="shared" si="434"/>
        <v>0.4623073556449705</v>
      </c>
      <c r="BC239" s="5">
        <f t="shared" si="359"/>
        <v>4.8810901127945616E-2</v>
      </c>
      <c r="BD239" s="147">
        <f t="shared" si="435"/>
        <v>0</v>
      </c>
      <c r="BQ239" s="463">
        <f t="shared" si="436"/>
        <v>8.7860000000000004E-3</v>
      </c>
      <c r="CG239" s="59">
        <f t="shared" si="437"/>
        <v>-50</v>
      </c>
      <c r="CH239">
        <f t="shared" si="438"/>
        <v>-50</v>
      </c>
    </row>
    <row r="240" spans="5:86" x14ac:dyDescent="0.25">
      <c r="E240" s="150">
        <v>24</v>
      </c>
      <c r="F240" s="191">
        <f t="shared" si="439"/>
        <v>2.4E-2</v>
      </c>
      <c r="G240" s="191"/>
      <c r="H240" s="191">
        <f t="shared" si="404"/>
        <v>0.36</v>
      </c>
      <c r="I240" s="472">
        <f t="shared" si="405"/>
        <v>26</v>
      </c>
      <c r="J240" s="386">
        <f t="shared" si="406"/>
        <v>15.32</v>
      </c>
      <c r="K240" s="386">
        <f t="shared" si="407"/>
        <v>41.32</v>
      </c>
      <c r="L240" s="386"/>
      <c r="M240" s="191">
        <f t="shared" si="408"/>
        <v>0.37076476282671827</v>
      </c>
      <c r="N240" s="152">
        <f t="shared" si="409"/>
        <v>3.3254522666886368</v>
      </c>
      <c r="O240" s="152">
        <f t="shared" si="363"/>
        <v>0.36</v>
      </c>
      <c r="P240" s="191">
        <f t="shared" si="410"/>
        <v>0.22169681777924247</v>
      </c>
      <c r="Q240" s="191">
        <f t="shared" si="411"/>
        <v>15</v>
      </c>
      <c r="R240" s="191"/>
      <c r="S240" s="152">
        <f t="shared" si="412"/>
        <v>339.64947278554695</v>
      </c>
      <c r="T240" s="152">
        <f t="shared" si="413"/>
        <v>15</v>
      </c>
      <c r="U240" s="191">
        <f t="shared" si="414"/>
        <v>8.298855191805582E-2</v>
      </c>
      <c r="V240" s="191">
        <f t="shared" si="415"/>
        <v>0.15001776692879321</v>
      </c>
      <c r="W240" s="191">
        <f t="shared" si="416"/>
        <v>0.25459934335173778</v>
      </c>
      <c r="X240" s="175">
        <f t="shared" si="417"/>
        <v>350</v>
      </c>
      <c r="Y240" s="386">
        <f t="shared" si="418"/>
        <v>350</v>
      </c>
      <c r="AA240" s="191">
        <f t="shared" si="419"/>
        <v>0.58601117528843016</v>
      </c>
      <c r="AB240" s="153">
        <f t="shared" si="420"/>
        <v>1.7978149633522333</v>
      </c>
      <c r="AC240" s="153">
        <f t="shared" si="421"/>
        <v>0.18436944043440445</v>
      </c>
      <c r="AD240" s="153"/>
      <c r="AE240" s="153">
        <f t="shared" si="422"/>
        <v>0.46018276762402083</v>
      </c>
      <c r="AF240" s="317">
        <f t="shared" si="423"/>
        <v>695.37588652482293</v>
      </c>
      <c r="AG240" s="463">
        <f t="shared" si="424"/>
        <v>1.2079797650130546E-2</v>
      </c>
      <c r="AI240" s="153">
        <f t="shared" si="425"/>
        <v>0.21143021440255416</v>
      </c>
      <c r="AJ240" s="153">
        <f t="shared" si="426"/>
        <v>0.21143021440255416</v>
      </c>
      <c r="AK240" s="153">
        <f t="shared" si="427"/>
        <v>1.2409534762683694</v>
      </c>
      <c r="AM240" s="317">
        <f t="shared" si="428"/>
        <v>24</v>
      </c>
      <c r="AN240" s="147">
        <f t="shared" si="429"/>
        <v>350</v>
      </c>
      <c r="AP240">
        <f t="shared" si="430"/>
        <v>24</v>
      </c>
      <c r="AQ240">
        <f t="shared" si="431"/>
        <v>350</v>
      </c>
      <c r="AS240" s="5">
        <f t="shared" si="364"/>
        <v>2.8571428571428572</v>
      </c>
      <c r="AT240" s="5">
        <f t="shared" si="432"/>
        <v>0.38220077218923248</v>
      </c>
      <c r="AU240" s="5">
        <f t="shared" si="440"/>
        <v>2.4749420849536246</v>
      </c>
      <c r="AV240" s="5"/>
      <c r="AW240" s="153">
        <f t="shared" si="441"/>
        <v>0.13377027026623137</v>
      </c>
      <c r="AX240" s="153"/>
      <c r="BA240" s="147">
        <f t="shared" si="433"/>
        <v>2.7597754264171033</v>
      </c>
      <c r="BB240" s="147">
        <f t="shared" si="434"/>
        <v>0.50025148743195269</v>
      </c>
      <c r="BC240" s="5">
        <f t="shared" si="359"/>
        <v>5.0768042768279474E-2</v>
      </c>
      <c r="BD240" s="147">
        <f t="shared" si="435"/>
        <v>0</v>
      </c>
      <c r="BQ240" s="463">
        <f t="shared" si="436"/>
        <v>9.1680000000000008E-3</v>
      </c>
      <c r="CG240" s="59">
        <f t="shared" si="437"/>
        <v>-50</v>
      </c>
      <c r="CH240">
        <f t="shared" si="438"/>
        <v>-50</v>
      </c>
    </row>
    <row r="241" spans="5:86" x14ac:dyDescent="0.25">
      <c r="E241" s="150">
        <v>25</v>
      </c>
      <c r="F241" s="191">
        <f t="shared" si="439"/>
        <v>2.5000000000000001E-2</v>
      </c>
      <c r="G241" s="191"/>
      <c r="H241" s="191">
        <f t="shared" si="404"/>
        <v>0.375</v>
      </c>
      <c r="I241" s="472">
        <f t="shared" si="405"/>
        <v>26</v>
      </c>
      <c r="J241" s="386">
        <f t="shared" si="406"/>
        <v>15.32</v>
      </c>
      <c r="K241" s="386">
        <f t="shared" si="407"/>
        <v>41.32</v>
      </c>
      <c r="L241" s="386"/>
      <c r="M241" s="191">
        <f t="shared" si="408"/>
        <v>0.37076476282671827</v>
      </c>
      <c r="N241" s="152">
        <f t="shared" si="409"/>
        <v>3.3254522666886368</v>
      </c>
      <c r="O241" s="152">
        <f t="shared" si="363"/>
        <v>0.375</v>
      </c>
      <c r="P241" s="191">
        <f t="shared" si="410"/>
        <v>0.22169681777924247</v>
      </c>
      <c r="Q241" s="191">
        <f t="shared" si="411"/>
        <v>15</v>
      </c>
      <c r="R241" s="191"/>
      <c r="S241" s="152">
        <f t="shared" si="412"/>
        <v>325.02557280840858</v>
      </c>
      <c r="T241" s="152">
        <f t="shared" si="413"/>
        <v>15</v>
      </c>
      <c r="U241" s="191">
        <f t="shared" si="414"/>
        <v>8.6446408247974824E-2</v>
      </c>
      <c r="V241" s="191">
        <f t="shared" si="415"/>
        <v>0.15626850721749294</v>
      </c>
      <c r="W241" s="191">
        <f t="shared" si="416"/>
        <v>0.2652076493247269</v>
      </c>
      <c r="X241" s="175">
        <f t="shared" si="417"/>
        <v>350</v>
      </c>
      <c r="Y241" s="386">
        <f t="shared" si="418"/>
        <v>350</v>
      </c>
      <c r="AA241" s="191">
        <f t="shared" si="419"/>
        <v>0.58601117528843016</v>
      </c>
      <c r="AB241" s="153">
        <f t="shared" si="420"/>
        <v>1.7978149633522333</v>
      </c>
      <c r="AC241" s="153">
        <f t="shared" si="421"/>
        <v>0.18436944043440445</v>
      </c>
      <c r="AD241" s="153"/>
      <c r="AE241" s="153">
        <f t="shared" si="422"/>
        <v>0.46018276762402083</v>
      </c>
      <c r="AF241" s="317">
        <f t="shared" si="423"/>
        <v>724.34988179669051</v>
      </c>
      <c r="AG241" s="463">
        <f t="shared" si="424"/>
        <v>1.2079797650130546E-2</v>
      </c>
      <c r="AI241" s="153">
        <f t="shared" si="425"/>
        <v>0.21579005895562692</v>
      </c>
      <c r="AJ241" s="153">
        <f t="shared" si="426"/>
        <v>0.21579005895562692</v>
      </c>
      <c r="AK241" s="153">
        <f t="shared" si="427"/>
        <v>1.2438600393037513</v>
      </c>
      <c r="AM241" s="317">
        <f t="shared" si="428"/>
        <v>25</v>
      </c>
      <c r="AN241" s="147">
        <f t="shared" si="429"/>
        <v>350</v>
      </c>
      <c r="AP241">
        <f t="shared" si="430"/>
        <v>25</v>
      </c>
      <c r="AQ241">
        <f t="shared" si="431"/>
        <v>350</v>
      </c>
      <c r="AS241" s="5">
        <f t="shared" si="364"/>
        <v>2.8571428571428572</v>
      </c>
      <c r="AT241" s="5">
        <f t="shared" si="432"/>
        <v>0.39008202965055638</v>
      </c>
      <c r="AU241" s="5">
        <f t="shared" si="440"/>
        <v>2.4670608274923009</v>
      </c>
      <c r="AV241" s="5"/>
      <c r="AW241" s="153">
        <f t="shared" si="441"/>
        <v>0.13652871037769473</v>
      </c>
      <c r="AX241" s="153"/>
      <c r="BA241" s="147">
        <f t="shared" si="433"/>
        <v>2.7597754264171033</v>
      </c>
      <c r="BB241" s="147">
        <f t="shared" si="434"/>
        <v>0.53968260355029596</v>
      </c>
      <c r="BC241" s="5">
        <f t="shared" si="359"/>
        <v>5.2714974946416686E-2</v>
      </c>
      <c r="BD241" s="147">
        <f t="shared" si="435"/>
        <v>0</v>
      </c>
      <c r="BQ241" s="463">
        <f t="shared" si="436"/>
        <v>9.5500000000000012E-3</v>
      </c>
      <c r="CG241" s="59">
        <f t="shared" si="437"/>
        <v>-50</v>
      </c>
      <c r="CH241">
        <f t="shared" si="438"/>
        <v>-50</v>
      </c>
    </row>
    <row r="242" spans="5:86" x14ac:dyDescent="0.25">
      <c r="E242" s="150">
        <v>26</v>
      </c>
      <c r="F242" s="191">
        <f t="shared" si="439"/>
        <v>2.6000000000000002E-2</v>
      </c>
      <c r="G242" s="191"/>
      <c r="H242" s="191">
        <f t="shared" si="404"/>
        <v>0.39</v>
      </c>
      <c r="I242" s="472">
        <f t="shared" si="405"/>
        <v>26</v>
      </c>
      <c r="J242" s="386">
        <f t="shared" si="406"/>
        <v>15.32</v>
      </c>
      <c r="K242" s="386">
        <f t="shared" si="407"/>
        <v>41.32</v>
      </c>
      <c r="L242" s="386"/>
      <c r="M242" s="191">
        <f t="shared" si="408"/>
        <v>0.37076476282671827</v>
      </c>
      <c r="N242" s="152">
        <f t="shared" si="409"/>
        <v>3.3254522666886368</v>
      </c>
      <c r="O242" s="152">
        <f t="shared" si="363"/>
        <v>0.39</v>
      </c>
      <c r="P242" s="191">
        <f t="shared" si="410"/>
        <v>0.22169681777924247</v>
      </c>
      <c r="Q242" s="191">
        <f t="shared" si="411"/>
        <v>15</v>
      </c>
      <c r="R242" s="191"/>
      <c r="S242" s="152">
        <f t="shared" si="412"/>
        <v>311.52667977740197</v>
      </c>
      <c r="T242" s="152">
        <f t="shared" si="413"/>
        <v>15</v>
      </c>
      <c r="U242" s="191">
        <f t="shared" si="414"/>
        <v>8.9904264577893814E-2</v>
      </c>
      <c r="V242" s="191">
        <f t="shared" si="415"/>
        <v>0.16251924750619262</v>
      </c>
      <c r="W242" s="191">
        <f t="shared" si="416"/>
        <v>0.27581595529771596</v>
      </c>
      <c r="X242" s="175">
        <f t="shared" si="417"/>
        <v>350</v>
      </c>
      <c r="Y242" s="386">
        <f t="shared" si="418"/>
        <v>350</v>
      </c>
      <c r="AA242" s="191">
        <f t="shared" si="419"/>
        <v>0.58601117528843016</v>
      </c>
      <c r="AB242" s="153">
        <f t="shared" si="420"/>
        <v>1.7978149633522333</v>
      </c>
      <c r="AC242" s="153">
        <f t="shared" si="421"/>
        <v>0.18436944043440445</v>
      </c>
      <c r="AD242" s="153"/>
      <c r="AE242" s="153">
        <f t="shared" si="422"/>
        <v>0.46018276762402083</v>
      </c>
      <c r="AF242" s="317">
        <f t="shared" si="423"/>
        <v>753.32387706855809</v>
      </c>
      <c r="AG242" s="463">
        <f t="shared" si="424"/>
        <v>1.2079797650130546E-2</v>
      </c>
      <c r="AI242" s="153">
        <f t="shared" si="425"/>
        <v>0.22006354429081584</v>
      </c>
      <c r="AJ242" s="153">
        <f t="shared" si="426"/>
        <v>0.22006354429081584</v>
      </c>
      <c r="AK242" s="153">
        <f t="shared" si="427"/>
        <v>1.2467090295272105</v>
      </c>
      <c r="AM242" s="317">
        <f t="shared" si="428"/>
        <v>26.000000000000004</v>
      </c>
      <c r="AN242" s="147">
        <f t="shared" si="429"/>
        <v>350</v>
      </c>
      <c r="AP242">
        <f t="shared" si="430"/>
        <v>26.000000000000004</v>
      </c>
      <c r="AQ242">
        <f t="shared" si="431"/>
        <v>350</v>
      </c>
      <c r="AS242" s="5">
        <f t="shared" si="364"/>
        <v>2.8571428571428572</v>
      </c>
      <c r="AT242" s="5">
        <f t="shared" si="432"/>
        <v>0.3978071762180132</v>
      </c>
      <c r="AU242" s="5">
        <f t="shared" si="440"/>
        <v>2.4593356809248439</v>
      </c>
      <c r="AV242" s="5"/>
      <c r="AW242" s="153">
        <f t="shared" si="441"/>
        <v>0.13923251167630463</v>
      </c>
      <c r="AX242" s="153"/>
      <c r="BA242" s="147">
        <f t="shared" si="433"/>
        <v>2.7597754264171033</v>
      </c>
      <c r="BB242" s="147">
        <f t="shared" si="434"/>
        <v>0.58060070400000008</v>
      </c>
      <c r="BC242" s="5">
        <f t="shared" si="359"/>
        <v>5.4651904020552089E-2</v>
      </c>
      <c r="BD242" s="147">
        <f t="shared" si="435"/>
        <v>0</v>
      </c>
      <c r="BQ242" s="463">
        <f t="shared" si="436"/>
        <v>9.9320000000000016E-3</v>
      </c>
      <c r="CG242" s="59">
        <f t="shared" si="437"/>
        <v>-50</v>
      </c>
      <c r="CH242">
        <f t="shared" si="438"/>
        <v>-50</v>
      </c>
    </row>
    <row r="243" spans="5:86" x14ac:dyDescent="0.25">
      <c r="E243" s="150">
        <v>27</v>
      </c>
      <c r="F243" s="191">
        <f t="shared" si="439"/>
        <v>2.7000000000000003E-2</v>
      </c>
      <c r="G243" s="191"/>
      <c r="H243" s="191">
        <f t="shared" si="404"/>
        <v>0.40500000000000003</v>
      </c>
      <c r="I243" s="472">
        <f t="shared" si="405"/>
        <v>26</v>
      </c>
      <c r="J243" s="386">
        <f t="shared" si="406"/>
        <v>15.32</v>
      </c>
      <c r="K243" s="386">
        <f t="shared" si="407"/>
        <v>41.32</v>
      </c>
      <c r="L243" s="386"/>
      <c r="M243" s="191">
        <f t="shared" si="408"/>
        <v>0.37076476282671827</v>
      </c>
      <c r="N243" s="152">
        <f t="shared" si="409"/>
        <v>3.3254522666886368</v>
      </c>
      <c r="O243" s="152">
        <f t="shared" si="363"/>
        <v>0.40500000000000003</v>
      </c>
      <c r="P243" s="191">
        <f t="shared" si="410"/>
        <v>0.22169681777924247</v>
      </c>
      <c r="Q243" s="191">
        <f t="shared" si="411"/>
        <v>15</v>
      </c>
      <c r="R243" s="191"/>
      <c r="S243" s="152">
        <f t="shared" si="412"/>
        <v>299.02779375754051</v>
      </c>
      <c r="T243" s="152">
        <f t="shared" si="413"/>
        <v>15</v>
      </c>
      <c r="U243" s="191">
        <f t="shared" si="414"/>
        <v>9.3362120907812818E-2</v>
      </c>
      <c r="V243" s="191">
        <f t="shared" si="415"/>
        <v>0.16876998779489238</v>
      </c>
      <c r="W243" s="191">
        <f t="shared" si="416"/>
        <v>0.28642426127070508</v>
      </c>
      <c r="X243" s="175">
        <f t="shared" si="417"/>
        <v>350</v>
      </c>
      <c r="Y243" s="386">
        <f t="shared" si="418"/>
        <v>350</v>
      </c>
      <c r="AA243" s="191">
        <f t="shared" si="419"/>
        <v>0.58601117528843016</v>
      </c>
      <c r="AB243" s="153">
        <f t="shared" si="420"/>
        <v>1.7978149633522333</v>
      </c>
      <c r="AC243" s="153">
        <f t="shared" si="421"/>
        <v>0.18436944043440445</v>
      </c>
      <c r="AD243" s="153"/>
      <c r="AE243" s="153">
        <f t="shared" si="422"/>
        <v>0.46018276762402083</v>
      </c>
      <c r="AF243" s="317">
        <f t="shared" si="423"/>
        <v>782.2978723404259</v>
      </c>
      <c r="AG243" s="463">
        <f t="shared" si="424"/>
        <v>1.2079797650130546E-2</v>
      </c>
      <c r="AI243" s="153">
        <f t="shared" si="425"/>
        <v>0.22425560752765758</v>
      </c>
      <c r="AJ243" s="153">
        <f t="shared" si="426"/>
        <v>0.22425560752765758</v>
      </c>
      <c r="AK243" s="153">
        <f t="shared" si="427"/>
        <v>1.2495037383517718</v>
      </c>
      <c r="AM243" s="317">
        <f t="shared" si="428"/>
        <v>27.000000000000004</v>
      </c>
      <c r="AN243" s="147">
        <f t="shared" si="429"/>
        <v>350</v>
      </c>
      <c r="AP243">
        <f t="shared" si="430"/>
        <v>27.000000000000004</v>
      </c>
      <c r="AQ243">
        <f t="shared" si="431"/>
        <v>350</v>
      </c>
      <c r="AS243" s="5">
        <f t="shared" si="364"/>
        <v>2.8571428571428572</v>
      </c>
      <c r="AT243" s="5">
        <f t="shared" si="432"/>
        <v>0.40538513668461174</v>
      </c>
      <c r="AU243" s="5">
        <f t="shared" si="440"/>
        <v>2.4517577204582457</v>
      </c>
      <c r="AV243" s="5"/>
      <c r="AW243" s="153">
        <f t="shared" si="441"/>
        <v>0.14188479783961411</v>
      </c>
      <c r="AX243" s="153"/>
      <c r="BA243" s="147">
        <f t="shared" si="433"/>
        <v>2.7597754264171033</v>
      </c>
      <c r="BB243" s="147">
        <f t="shared" si="434"/>
        <v>0.62300578878106516</v>
      </c>
      <c r="BC243" s="5">
        <f t="shared" si="359"/>
        <v>5.6579024318267217E-2</v>
      </c>
      <c r="BD243" s="147">
        <f t="shared" si="435"/>
        <v>0</v>
      </c>
      <c r="BQ243" s="463">
        <f t="shared" si="436"/>
        <v>1.0314000000000002E-2</v>
      </c>
      <c r="CG243" s="59">
        <f t="shared" si="437"/>
        <v>-50</v>
      </c>
      <c r="CH243">
        <f t="shared" si="438"/>
        <v>-50</v>
      </c>
    </row>
    <row r="244" spans="5:86" x14ac:dyDescent="0.25">
      <c r="E244" s="150">
        <v>28</v>
      </c>
      <c r="F244" s="191">
        <f t="shared" si="439"/>
        <v>2.8000000000000004E-2</v>
      </c>
      <c r="G244" s="191"/>
      <c r="H244" s="191">
        <f t="shared" si="404"/>
        <v>0.42000000000000004</v>
      </c>
      <c r="I244" s="472">
        <f t="shared" si="405"/>
        <v>26</v>
      </c>
      <c r="J244" s="386">
        <f t="shared" si="406"/>
        <v>15.32</v>
      </c>
      <c r="K244" s="386">
        <f t="shared" si="407"/>
        <v>41.32</v>
      </c>
      <c r="L244" s="386"/>
      <c r="M244" s="191">
        <f t="shared" si="408"/>
        <v>0.37076476282671827</v>
      </c>
      <c r="N244" s="152">
        <f t="shared" si="409"/>
        <v>3.3254522666886368</v>
      </c>
      <c r="O244" s="152">
        <f t="shared" si="363"/>
        <v>0.42000000000000004</v>
      </c>
      <c r="P244" s="191">
        <f t="shared" si="410"/>
        <v>0.22169681777924247</v>
      </c>
      <c r="Q244" s="191">
        <f t="shared" si="411"/>
        <v>15</v>
      </c>
      <c r="R244" s="191"/>
      <c r="S244" s="152">
        <f t="shared" si="412"/>
        <v>287.42177195749588</v>
      </c>
      <c r="T244" s="152">
        <f t="shared" si="413"/>
        <v>15</v>
      </c>
      <c r="U244" s="191">
        <f t="shared" si="414"/>
        <v>9.6819977237731808E-2</v>
      </c>
      <c r="V244" s="191">
        <f t="shared" si="415"/>
        <v>0.17502072808359209</v>
      </c>
      <c r="W244" s="191">
        <f t="shared" si="416"/>
        <v>0.2970325672436942</v>
      </c>
      <c r="X244" s="175">
        <f t="shared" si="417"/>
        <v>350</v>
      </c>
      <c r="Y244" s="386">
        <f t="shared" si="418"/>
        <v>350</v>
      </c>
      <c r="AA244" s="191">
        <f t="shared" si="419"/>
        <v>0.58601117528843016</v>
      </c>
      <c r="AB244" s="153">
        <f t="shared" si="420"/>
        <v>1.7978149633522333</v>
      </c>
      <c r="AC244" s="153">
        <f t="shared" si="421"/>
        <v>0.18436944043440445</v>
      </c>
      <c r="AD244" s="153"/>
      <c r="AE244" s="153">
        <f t="shared" si="422"/>
        <v>0.46018276762402083</v>
      </c>
      <c r="AF244" s="317">
        <f t="shared" si="423"/>
        <v>811.27186761229348</v>
      </c>
      <c r="AG244" s="463">
        <f t="shared" si="424"/>
        <v>1.2079797650130546E-2</v>
      </c>
      <c r="AI244" s="153">
        <f t="shared" si="425"/>
        <v>0.22837073255862211</v>
      </c>
      <c r="AJ244" s="153">
        <f t="shared" si="426"/>
        <v>0.22837073255862211</v>
      </c>
      <c r="AK244" s="153">
        <f t="shared" si="427"/>
        <v>1.2522471550390815</v>
      </c>
      <c r="AM244" s="317">
        <f t="shared" si="428"/>
        <v>28.000000000000004</v>
      </c>
      <c r="AN244" s="147">
        <f t="shared" si="429"/>
        <v>350</v>
      </c>
      <c r="AP244">
        <f t="shared" si="430"/>
        <v>28.000000000000004</v>
      </c>
      <c r="AQ244">
        <f t="shared" si="431"/>
        <v>350</v>
      </c>
      <c r="AS244" s="5">
        <f t="shared" si="364"/>
        <v>2.8571428571428572</v>
      </c>
      <c r="AT244" s="5">
        <f t="shared" si="432"/>
        <v>0.41282401654827844</v>
      </c>
      <c r="AU244" s="5">
        <f t="shared" si="440"/>
        <v>2.4443188405945788</v>
      </c>
      <c r="AV244" s="5"/>
      <c r="AW244" s="153">
        <f t="shared" si="441"/>
        <v>0.14448840579189745</v>
      </c>
      <c r="AX244" s="153"/>
      <c r="BA244" s="147">
        <f t="shared" si="433"/>
        <v>2.7597754264171033</v>
      </c>
      <c r="BB244" s="147">
        <f t="shared" si="434"/>
        <v>0.66689785789349121</v>
      </c>
      <c r="BC244" s="5">
        <f t="shared" si="359"/>
        <v>5.8496519262092483E-2</v>
      </c>
      <c r="BD244" s="147">
        <f t="shared" si="435"/>
        <v>0</v>
      </c>
      <c r="BQ244" s="463">
        <f t="shared" si="436"/>
        <v>1.0696000000000001E-2</v>
      </c>
      <c r="CG244" s="59">
        <f t="shared" si="437"/>
        <v>-50</v>
      </c>
      <c r="CH244">
        <f t="shared" si="438"/>
        <v>-50</v>
      </c>
    </row>
    <row r="245" spans="5:86" x14ac:dyDescent="0.25">
      <c r="E245" s="150">
        <v>29</v>
      </c>
      <c r="F245" s="191">
        <f t="shared" si="439"/>
        <v>2.8999999999999998E-2</v>
      </c>
      <c r="G245" s="191"/>
      <c r="H245" s="191">
        <f t="shared" si="404"/>
        <v>0.43499999999999994</v>
      </c>
      <c r="I245" s="472">
        <f t="shared" si="405"/>
        <v>26</v>
      </c>
      <c r="J245" s="386">
        <f t="shared" si="406"/>
        <v>15.32</v>
      </c>
      <c r="K245" s="386">
        <f t="shared" si="407"/>
        <v>41.32</v>
      </c>
      <c r="L245" s="386"/>
      <c r="M245" s="191">
        <f t="shared" si="408"/>
        <v>0.37076476282671827</v>
      </c>
      <c r="N245" s="152">
        <f t="shared" si="409"/>
        <v>3.3254522666886368</v>
      </c>
      <c r="O245" s="152">
        <f t="shared" si="363"/>
        <v>0.43499999999999994</v>
      </c>
      <c r="P245" s="191">
        <f t="shared" si="410"/>
        <v>0.22169681777924247</v>
      </c>
      <c r="Q245" s="191">
        <f t="shared" si="411"/>
        <v>15</v>
      </c>
      <c r="R245" s="191"/>
      <c r="S245" s="152">
        <f t="shared" si="412"/>
        <v>276.6162499118762</v>
      </c>
      <c r="T245" s="152">
        <f t="shared" si="413"/>
        <v>15</v>
      </c>
      <c r="U245" s="191">
        <f t="shared" si="414"/>
        <v>0.10027783356765078</v>
      </c>
      <c r="V245" s="191">
        <f t="shared" si="415"/>
        <v>0.1812714683722918</v>
      </c>
      <c r="W245" s="191">
        <f t="shared" si="416"/>
        <v>0.30764087321668315</v>
      </c>
      <c r="X245" s="175">
        <f t="shared" si="417"/>
        <v>350</v>
      </c>
      <c r="Y245" s="386">
        <f t="shared" si="418"/>
        <v>350</v>
      </c>
      <c r="AA245" s="191">
        <f t="shared" si="419"/>
        <v>0.58601117528843016</v>
      </c>
      <c r="AB245" s="153">
        <f t="shared" si="420"/>
        <v>1.7978149633522333</v>
      </c>
      <c r="AC245" s="153">
        <f t="shared" si="421"/>
        <v>0.18436944043440445</v>
      </c>
      <c r="AD245" s="153"/>
      <c r="AE245" s="153">
        <f t="shared" si="422"/>
        <v>0.46018276762402083</v>
      </c>
      <c r="AF245" s="317">
        <f t="shared" si="423"/>
        <v>840.24586288416094</v>
      </c>
      <c r="AG245" s="463">
        <f t="shared" si="424"/>
        <v>1.2079797650130546E-2</v>
      </c>
      <c r="AI245" s="153">
        <f t="shared" si="425"/>
        <v>0.23241300624346437</v>
      </c>
      <c r="AJ245" s="153">
        <f t="shared" si="426"/>
        <v>0.23241300624346437</v>
      </c>
      <c r="AK245" s="153">
        <f t="shared" si="427"/>
        <v>1.2549420041623096</v>
      </c>
      <c r="AM245" s="317">
        <f t="shared" si="428"/>
        <v>28.999999999999996</v>
      </c>
      <c r="AN245" s="147">
        <f t="shared" si="429"/>
        <v>350</v>
      </c>
      <c r="AP245">
        <f t="shared" si="430"/>
        <v>28.999999999999996</v>
      </c>
      <c r="AQ245">
        <f t="shared" si="431"/>
        <v>350</v>
      </c>
      <c r="AS245" s="5">
        <f t="shared" si="364"/>
        <v>2.8571428571428572</v>
      </c>
      <c r="AT245" s="5">
        <f t="shared" si="432"/>
        <v>0.42013120359395478</v>
      </c>
      <c r="AU245" s="5">
        <f t="shared" si="440"/>
        <v>2.4370116535489026</v>
      </c>
      <c r="AV245" s="5"/>
      <c r="AW245" s="153">
        <f t="shared" si="441"/>
        <v>0.14704592125788418</v>
      </c>
      <c r="AX245" s="153"/>
      <c r="BA245" s="147">
        <f t="shared" si="433"/>
        <v>2.7597754264171033</v>
      </c>
      <c r="BB245" s="147">
        <f t="shared" si="434"/>
        <v>0.71227691133727788</v>
      </c>
      <c r="BC245" s="5">
        <f t="shared" ref="BC245:BC308" si="442">H245/Efficiency/I245*AU245/Vinripple1</f>
        <v>6.04045623529215E-2</v>
      </c>
      <c r="BD245" s="147">
        <f t="shared" si="435"/>
        <v>0</v>
      </c>
      <c r="BQ245" s="463">
        <f t="shared" si="436"/>
        <v>1.1077999999999999E-2</v>
      </c>
      <c r="CG245" s="59">
        <f t="shared" si="437"/>
        <v>-50</v>
      </c>
      <c r="CH245">
        <f t="shared" si="438"/>
        <v>-50</v>
      </c>
    </row>
    <row r="246" spans="5:86" x14ac:dyDescent="0.25">
      <c r="E246" s="150">
        <v>30</v>
      </c>
      <c r="F246" s="191">
        <f t="shared" si="439"/>
        <v>0.03</v>
      </c>
      <c r="G246" s="191"/>
      <c r="H246" s="191">
        <f t="shared" si="404"/>
        <v>0.44999999999999996</v>
      </c>
      <c r="I246" s="472">
        <f t="shared" si="405"/>
        <v>26</v>
      </c>
      <c r="J246" s="386">
        <f t="shared" si="406"/>
        <v>15.32</v>
      </c>
      <c r="K246" s="386">
        <f t="shared" si="407"/>
        <v>41.32</v>
      </c>
      <c r="L246" s="386"/>
      <c r="M246" s="191">
        <f t="shared" si="408"/>
        <v>0.37076476282671827</v>
      </c>
      <c r="N246" s="152">
        <f t="shared" si="409"/>
        <v>3.3254522666886368</v>
      </c>
      <c r="O246" s="152">
        <f t="shared" si="363"/>
        <v>0.44999999999999996</v>
      </c>
      <c r="P246" s="191">
        <f t="shared" si="410"/>
        <v>0.22169681777924247</v>
      </c>
      <c r="Q246" s="191">
        <f t="shared" si="411"/>
        <v>15</v>
      </c>
      <c r="R246" s="191"/>
      <c r="S246" s="152">
        <f t="shared" si="412"/>
        <v>266.5311784270508</v>
      </c>
      <c r="T246" s="152">
        <f t="shared" si="413"/>
        <v>15</v>
      </c>
      <c r="U246" s="191">
        <f t="shared" si="414"/>
        <v>0.10373568989756977</v>
      </c>
      <c r="V246" s="191">
        <f t="shared" si="415"/>
        <v>0.18752220866099151</v>
      </c>
      <c r="W246" s="191">
        <f t="shared" si="416"/>
        <v>0.31824917918967227</v>
      </c>
      <c r="X246" s="175">
        <f t="shared" si="417"/>
        <v>350</v>
      </c>
      <c r="Y246" s="386">
        <f t="shared" si="418"/>
        <v>350</v>
      </c>
      <c r="AA246" s="191">
        <f t="shared" si="419"/>
        <v>0.58601117528843016</v>
      </c>
      <c r="AB246" s="153">
        <f t="shared" si="420"/>
        <v>1.7978149633522333</v>
      </c>
      <c r="AC246" s="153">
        <f t="shared" si="421"/>
        <v>0.18436944043440445</v>
      </c>
      <c r="AD246" s="153"/>
      <c r="AE246" s="153">
        <f t="shared" si="422"/>
        <v>0.46018276762402083</v>
      </c>
      <c r="AF246" s="317">
        <f t="shared" si="423"/>
        <v>869.21985815602852</v>
      </c>
      <c r="AG246" s="463">
        <f t="shared" si="424"/>
        <v>1.2079797650130546E-2</v>
      </c>
      <c r="AI246" s="153">
        <f t="shared" si="425"/>
        <v>0.23638616595073311</v>
      </c>
      <c r="AJ246" s="153">
        <f t="shared" si="426"/>
        <v>0.23638616595073311</v>
      </c>
      <c r="AK246" s="153">
        <f t="shared" si="427"/>
        <v>1.2575907773004886</v>
      </c>
      <c r="AM246" s="317">
        <f t="shared" si="428"/>
        <v>30</v>
      </c>
      <c r="AN246" s="147">
        <f t="shared" si="429"/>
        <v>350</v>
      </c>
      <c r="AP246">
        <f t="shared" si="430"/>
        <v>30</v>
      </c>
      <c r="AQ246">
        <f t="shared" si="431"/>
        <v>350</v>
      </c>
      <c r="AS246" s="5">
        <f t="shared" si="364"/>
        <v>2.8571428571428572</v>
      </c>
      <c r="AT246" s="5">
        <f t="shared" si="432"/>
        <v>0.42731345383401748</v>
      </c>
      <c r="AU246" s="5">
        <f t="shared" si="440"/>
        <v>2.4298294033088399</v>
      </c>
      <c r="AV246" s="5"/>
      <c r="AW246" s="153">
        <f t="shared" si="441"/>
        <v>0.14955970884190611</v>
      </c>
      <c r="AX246" s="153"/>
      <c r="BA246" s="147">
        <f t="shared" si="433"/>
        <v>2.7597754264171033</v>
      </c>
      <c r="BB246" s="147">
        <f t="shared" si="434"/>
        <v>0.75914294911242597</v>
      </c>
      <c r="BC246" s="5">
        <f t="shared" si="442"/>
        <v>6.2303318033559991E-2</v>
      </c>
      <c r="BD246" s="147">
        <f t="shared" si="435"/>
        <v>0</v>
      </c>
      <c r="BQ246" s="463">
        <f t="shared" si="436"/>
        <v>1.146E-2</v>
      </c>
      <c r="CG246" s="59">
        <f t="shared" si="437"/>
        <v>-50</v>
      </c>
      <c r="CH246">
        <f t="shared" si="438"/>
        <v>-50</v>
      </c>
    </row>
    <row r="247" spans="5:86" x14ac:dyDescent="0.25">
      <c r="E247" s="150">
        <v>31</v>
      </c>
      <c r="F247" s="191">
        <f t="shared" si="439"/>
        <v>3.1E-2</v>
      </c>
      <c r="G247" s="191"/>
      <c r="H247" s="191">
        <f t="shared" si="404"/>
        <v>0.46499999999999997</v>
      </c>
      <c r="I247" s="472">
        <f t="shared" si="405"/>
        <v>26</v>
      </c>
      <c r="J247" s="386">
        <f t="shared" si="406"/>
        <v>15.32</v>
      </c>
      <c r="K247" s="386">
        <f t="shared" si="407"/>
        <v>41.32</v>
      </c>
      <c r="L247" s="386"/>
      <c r="M247" s="191">
        <f t="shared" si="408"/>
        <v>0.37076476282671827</v>
      </c>
      <c r="N247" s="152">
        <f t="shared" si="409"/>
        <v>3.3254522666886368</v>
      </c>
      <c r="O247" s="152">
        <f t="shared" si="363"/>
        <v>0.46499999999999997</v>
      </c>
      <c r="P247" s="191">
        <f t="shared" si="410"/>
        <v>0.22169681777924247</v>
      </c>
      <c r="Q247" s="191">
        <f t="shared" si="411"/>
        <v>15</v>
      </c>
      <c r="R247" s="191"/>
      <c r="S247" s="152">
        <f t="shared" si="412"/>
        <v>257.09683724714159</v>
      </c>
      <c r="T247" s="152">
        <f t="shared" si="413"/>
        <v>15</v>
      </c>
      <c r="U247" s="191">
        <f t="shared" si="414"/>
        <v>0.10719354622748876</v>
      </c>
      <c r="V247" s="191">
        <f t="shared" si="415"/>
        <v>0.19377294894969121</v>
      </c>
      <c r="W247" s="191">
        <f t="shared" si="416"/>
        <v>0.32885748516266133</v>
      </c>
      <c r="X247" s="175">
        <f t="shared" si="417"/>
        <v>350</v>
      </c>
      <c r="Y247" s="386">
        <f t="shared" si="418"/>
        <v>350</v>
      </c>
      <c r="AA247" s="191">
        <f t="shared" si="419"/>
        <v>0.58601117528843016</v>
      </c>
      <c r="AB247" s="153">
        <f t="shared" si="420"/>
        <v>1.7978149633522333</v>
      </c>
      <c r="AC247" s="153">
        <f t="shared" si="421"/>
        <v>0.18436944043440445</v>
      </c>
      <c r="AD247" s="153"/>
      <c r="AE247" s="153">
        <f t="shared" si="422"/>
        <v>0.46018276762402083</v>
      </c>
      <c r="AF247" s="317">
        <f t="shared" si="423"/>
        <v>898.19385342789622</v>
      </c>
      <c r="AG247" s="463">
        <f t="shared" si="424"/>
        <v>1.2079797650130546E-2</v>
      </c>
      <c r="AI247" s="153">
        <f t="shared" si="425"/>
        <v>0.2402936400212258</v>
      </c>
      <c r="AJ247" s="153">
        <f t="shared" si="426"/>
        <v>0.2402936400212258</v>
      </c>
      <c r="AK247" s="153">
        <f t="shared" si="427"/>
        <v>1.2601957600141505</v>
      </c>
      <c r="AM247" s="317">
        <f t="shared" si="428"/>
        <v>31</v>
      </c>
      <c r="AN247" s="147">
        <f t="shared" si="429"/>
        <v>350</v>
      </c>
      <c r="AP247">
        <f t="shared" si="430"/>
        <v>31</v>
      </c>
      <c r="AQ247">
        <f t="shared" si="431"/>
        <v>350</v>
      </c>
      <c r="AS247" s="5">
        <f t="shared" si="364"/>
        <v>2.8571428571428572</v>
      </c>
      <c r="AT247" s="5">
        <f t="shared" si="432"/>
        <v>0.43437696465375425</v>
      </c>
      <c r="AU247" s="5">
        <f t="shared" si="440"/>
        <v>2.4227658924891031</v>
      </c>
      <c r="AV247" s="5"/>
      <c r="AW247" s="153">
        <f t="shared" si="441"/>
        <v>0.15203193762881398</v>
      </c>
      <c r="AX247" s="153"/>
      <c r="BA247" s="147">
        <f t="shared" si="433"/>
        <v>2.7597754264171033</v>
      </c>
      <c r="BB247" s="147">
        <f t="shared" si="434"/>
        <v>0.80749597121893479</v>
      </c>
      <c r="BC247" s="5">
        <f t="shared" si="442"/>
        <v>6.4192942450565976E-2</v>
      </c>
      <c r="BD247" s="147">
        <f t="shared" si="435"/>
        <v>0</v>
      </c>
      <c r="BQ247" s="463">
        <f t="shared" si="436"/>
        <v>1.1842E-2</v>
      </c>
      <c r="CG247" s="59">
        <f t="shared" si="437"/>
        <v>-50</v>
      </c>
      <c r="CH247">
        <f t="shared" si="438"/>
        <v>-50</v>
      </c>
    </row>
    <row r="248" spans="5:86" x14ac:dyDescent="0.25">
      <c r="E248" s="150">
        <v>32</v>
      </c>
      <c r="F248" s="191">
        <f t="shared" si="439"/>
        <v>3.2000000000000001E-2</v>
      </c>
      <c r="G248" s="191"/>
      <c r="H248" s="191">
        <f t="shared" ref="H248:H279" si="443">F248*Vout</f>
        <v>0.48</v>
      </c>
      <c r="I248" s="472">
        <f t="shared" ref="I248:I279" si="444">VIN_max</f>
        <v>26</v>
      </c>
      <c r="J248" s="386">
        <f t="shared" ref="J248:J279" si="445">(T248+Vfwd1)*Nps</f>
        <v>15.32</v>
      </c>
      <c r="K248" s="386">
        <f t="shared" ref="K248:K279" si="446">(Vout+Vfwd1)*Nps+I248</f>
        <v>41.32</v>
      </c>
      <c r="L248" s="386"/>
      <c r="M248" s="191">
        <f t="shared" ref="M248:M279" si="447">(Vout+Vfwd1)*Nps/((Vout+Vfwd1)*Nps+I248)</f>
        <v>0.37076476282671827</v>
      </c>
      <c r="N248" s="152">
        <f t="shared" ref="N248:N279" si="448">M248*I248*(Isw_max+VIN_max/Lmag*ILIM_delay)*0.5*Efficiency</f>
        <v>3.3254522666886368</v>
      </c>
      <c r="O248" s="152">
        <f t="shared" si="363"/>
        <v>0.48</v>
      </c>
      <c r="P248" s="191">
        <f t="shared" ref="P248:P279" si="449">N248/Vout</f>
        <v>0.22169681777924247</v>
      </c>
      <c r="Q248" s="191">
        <f t="shared" ref="Q248:Q279" si="450">MIN(Vout,N248/F248)</f>
        <v>15</v>
      </c>
      <c r="R248" s="191"/>
      <c r="S248" s="152">
        <f t="shared" ref="S248:S279" si="451">(SQRT(Isw_max^2*Nps^2*I248^2+4*Isw_max*F248/Efficiency*(Nps^2*Vfwd1*I248-Nps*I248^2)+4*(F248/Efficiency)^2*Nps^2*Vfwd1^2+8*(F248/Efficiency)^2*Nps*Vfwd1*I248+4*(F248/Efficiency)^2*I248^2)-2*F248/Efficiency*I248-2*F248/Efficiency*Nps*Vfwd1+Isw_max*Nps*I248)/(4*F248/Efficiency*Nps)</f>
        <v>248.25222115764285</v>
      </c>
      <c r="T248" s="152">
        <f t="shared" ref="T248:T279" si="452">MIN(Vout, S248)</f>
        <v>15</v>
      </c>
      <c r="U248" s="191">
        <f t="shared" ref="U248:U279" si="453">MIN(2*Vout*F248/(Efficiency*I248*M248), Isw_max)</f>
        <v>0.11065140255740777</v>
      </c>
      <c r="V248" s="191">
        <f t="shared" ref="V248:V279" si="454">L*U248/I248*1000000</f>
        <v>0.20002368923839098</v>
      </c>
      <c r="W248" s="191">
        <f t="shared" ref="W248:W279" si="455">L*U248/J248*1000000</f>
        <v>0.33946579113565045</v>
      </c>
      <c r="X248" s="175">
        <f t="shared" ref="X248:X279" si="456">IF(1/((350000*L)*(1/I248+1/J248))&gt;Isw_min, 350, 0.001/((Isw_min*L)*(1/I248+1/J248)))</f>
        <v>350</v>
      </c>
      <c r="Y248" s="386">
        <f t="shared" si="418"/>
        <v>350</v>
      </c>
      <c r="AA248" s="191">
        <f t="shared" ref="AA248:AA279" si="457">1/((X248*1000*L)*(1/I248+1/J248))</f>
        <v>0.58601117528843016</v>
      </c>
      <c r="AB248" s="153">
        <f t="shared" ref="AB248:AB279" si="458">L*AA248/J248*1000000</f>
        <v>1.7978149633522333</v>
      </c>
      <c r="AC248" s="153">
        <f t="shared" ref="AC248:AC279" si="459">0.5*AB248*AA248*Nps*X248/1000</f>
        <v>0.18436944043440445</v>
      </c>
      <c r="AD248" s="153"/>
      <c r="AE248" s="153">
        <f t="shared" ref="AE248:AE279" si="460">L*Isw_min/J248*1000000</f>
        <v>0.46018276762402083</v>
      </c>
      <c r="AF248" s="317">
        <f t="shared" ref="AF248:AF279" si="461">MAX(12000,F248/(0.5*AE248/1000000*Isw_min*Nps))/1000</f>
        <v>927.16784869976391</v>
      </c>
      <c r="AG248" s="463">
        <f t="shared" ref="AG248:AG279" si="462">0.5*AE248/1000000*Isw_min*Nps*X248*1000</f>
        <v>1.2079797650130546E-2</v>
      </c>
      <c r="AI248" s="153">
        <f t="shared" ref="AI248:AI279" si="463">SQRT(F248/(0.5*L/J248*Fsw_DCM*Nps))</f>
        <v>0.24413858240026989</v>
      </c>
      <c r="AJ248" s="153">
        <f t="shared" ref="AJ248:AJ279" si="464">MAX(IF(F248&gt;AC248,U248,AI248),Isw_min)</f>
        <v>0.24413858240026989</v>
      </c>
      <c r="AK248" s="153">
        <f t="shared" ref="AK248:AK279" si="465">IF(F248&gt;AG248, (AJ248-Isw_min)/1.2*0.8+1.2, AF248*0.2/350+1)</f>
        <v>1.2627590549335133</v>
      </c>
      <c r="AM248" s="317">
        <f t="shared" ref="AM248:AM279" si="466">F248*1000</f>
        <v>32</v>
      </c>
      <c r="AN248" s="147">
        <f t="shared" ref="AN248:AN279" si="467">IF(F248&gt;AG248, Y248, AF248)</f>
        <v>350</v>
      </c>
      <c r="AP248">
        <f t="shared" ref="AP248:AP279" si="468">IF(H248&gt;N248, "",AM248)</f>
        <v>32</v>
      </c>
      <c r="AQ248">
        <f t="shared" ref="AQ248:AQ279" si="469">IF(H248&gt;N248, "",AN248)</f>
        <v>350</v>
      </c>
      <c r="AS248" s="5">
        <f t="shared" si="364"/>
        <v>2.8571428571428572</v>
      </c>
      <c r="AT248" s="5">
        <f t="shared" ref="AT248:AT279" si="470">L*AJ248/I248*1000000</f>
        <v>0.44132743741587244</v>
      </c>
      <c r="AU248" s="5">
        <f t="shared" si="440"/>
        <v>2.415815419726985</v>
      </c>
      <c r="AV248" s="5"/>
      <c r="AW248" s="153">
        <f t="shared" si="441"/>
        <v>0.15446460309555535</v>
      </c>
      <c r="AX248" s="153"/>
      <c r="BA248" s="147">
        <f t="shared" ref="BA248:BA279" si="471">L*Isw_max^2/(2*Vout_ripple*Vout)*1000000000*((1+M248)/2)^2</f>
        <v>2.7597754264171033</v>
      </c>
      <c r="BB248" s="147">
        <f t="shared" ref="BB248:BB279" si="472">L*F248^2/(2*Cout*Vout*Nps^2)*1000000000*((1+M248)/(1-M248))^2+F248*RCoutEsr</f>
        <v>0.85733597765680458</v>
      </c>
      <c r="BC248" s="5">
        <f t="shared" si="442"/>
        <v>6.607358412928506E-2</v>
      </c>
      <c r="BD248" s="147">
        <f t="shared" ref="BD248:BD279" si="473">((CB248/I248/Efficiency)*AU248/Cin+(CB248/I248/Efficiency)*RCinEsr)*1000</f>
        <v>0</v>
      </c>
      <c r="BQ248" s="463">
        <f t="shared" ref="BQ248:BQ279" si="474">(Vfwd2*F248+BG248^2*Rdiode)*(1+Diode_TC/1000*(Ta-25))</f>
        <v>1.2224E-2</v>
      </c>
      <c r="CG248" s="59">
        <f t="shared" ref="CG248:CG279" si="475">IF(ABS(F248-Ioutmax_Vinmax)&lt;Iout/200, AN248, -50)</f>
        <v>-50</v>
      </c>
      <c r="CH248">
        <f t="shared" ref="CH248:CH279" si="476">IF(ABS(F248-Ioutmax_Vinmin)&lt;Iout/200, N248*CC248, -50)</f>
        <v>-50</v>
      </c>
    </row>
    <row r="249" spans="5:86" x14ac:dyDescent="0.25">
      <c r="E249" s="150">
        <v>33</v>
      </c>
      <c r="F249" s="191">
        <f t="shared" ref="F249:F280" si="477">IF(PLOT_TYPE=1, E249/100*Iout_max, min_I*EXP(N249*rr/100))</f>
        <v>3.3000000000000002E-2</v>
      </c>
      <c r="G249" s="191"/>
      <c r="H249" s="191">
        <f t="shared" si="443"/>
        <v>0.495</v>
      </c>
      <c r="I249" s="472">
        <f t="shared" si="444"/>
        <v>26</v>
      </c>
      <c r="J249" s="386">
        <f t="shared" si="445"/>
        <v>15.32</v>
      </c>
      <c r="K249" s="386">
        <f t="shared" si="446"/>
        <v>41.32</v>
      </c>
      <c r="L249" s="386"/>
      <c r="M249" s="191">
        <f t="shared" si="447"/>
        <v>0.37076476282671827</v>
      </c>
      <c r="N249" s="152">
        <f t="shared" si="448"/>
        <v>3.3254522666886368</v>
      </c>
      <c r="O249" s="152">
        <f t="shared" si="363"/>
        <v>0.495</v>
      </c>
      <c r="P249" s="191">
        <f t="shared" si="449"/>
        <v>0.22169681777924247</v>
      </c>
      <c r="Q249" s="191">
        <f t="shared" si="450"/>
        <v>15</v>
      </c>
      <c r="R249" s="191"/>
      <c r="S249" s="152">
        <f t="shared" si="451"/>
        <v>239.94371952474896</v>
      </c>
      <c r="T249" s="152">
        <f t="shared" si="452"/>
        <v>15</v>
      </c>
      <c r="U249" s="191">
        <f t="shared" si="453"/>
        <v>0.11410925888732676</v>
      </c>
      <c r="V249" s="191">
        <f t="shared" si="454"/>
        <v>0.20627442952709069</v>
      </c>
      <c r="W249" s="191">
        <f t="shared" si="455"/>
        <v>0.35007409710863951</v>
      </c>
      <c r="X249" s="175">
        <f t="shared" si="456"/>
        <v>350</v>
      </c>
      <c r="Y249" s="386">
        <f t="shared" si="418"/>
        <v>350</v>
      </c>
      <c r="AA249" s="191">
        <f t="shared" si="457"/>
        <v>0.58601117528843016</v>
      </c>
      <c r="AB249" s="153">
        <f t="shared" si="458"/>
        <v>1.7978149633522333</v>
      </c>
      <c r="AC249" s="153">
        <f t="shared" si="459"/>
        <v>0.18436944043440445</v>
      </c>
      <c r="AD249" s="153"/>
      <c r="AE249" s="153">
        <f t="shared" si="460"/>
        <v>0.46018276762402083</v>
      </c>
      <c r="AF249" s="317">
        <f t="shared" si="461"/>
        <v>956.14184397163149</v>
      </c>
      <c r="AG249" s="463">
        <f t="shared" si="462"/>
        <v>1.2079797650130546E-2</v>
      </c>
      <c r="AI249" s="153">
        <f t="shared" si="463"/>
        <v>0.24792390243414669</v>
      </c>
      <c r="AJ249" s="153">
        <f t="shared" si="464"/>
        <v>0.24792390243414669</v>
      </c>
      <c r="AK249" s="153">
        <f t="shared" si="465"/>
        <v>1.2652826016227645</v>
      </c>
      <c r="AM249" s="317">
        <f t="shared" si="466"/>
        <v>33</v>
      </c>
      <c r="AN249" s="147">
        <f t="shared" si="467"/>
        <v>350</v>
      </c>
      <c r="AP249">
        <f t="shared" si="468"/>
        <v>33</v>
      </c>
      <c r="AQ249">
        <f t="shared" si="469"/>
        <v>350</v>
      </c>
      <c r="AS249" s="5">
        <f t="shared" si="364"/>
        <v>2.8571428571428572</v>
      </c>
      <c r="AT249" s="5">
        <f t="shared" si="470"/>
        <v>0.44817013132326516</v>
      </c>
      <c r="AU249" s="5">
        <f t="shared" si="440"/>
        <v>2.4089727258195919</v>
      </c>
      <c r="AV249" s="5"/>
      <c r="AW249" s="153">
        <f t="shared" si="441"/>
        <v>0.1568595459631428</v>
      </c>
      <c r="AX249" s="153"/>
      <c r="BA249" s="147">
        <f t="shared" si="471"/>
        <v>2.7597754264171033</v>
      </c>
      <c r="BB249" s="147">
        <f t="shared" si="472"/>
        <v>0.90866296842603556</v>
      </c>
      <c r="BC249" s="5">
        <f t="shared" si="442"/>
        <v>6.7945384574398734E-2</v>
      </c>
      <c r="BD249" s="147">
        <f t="shared" si="473"/>
        <v>0</v>
      </c>
      <c r="BQ249" s="463">
        <f t="shared" si="474"/>
        <v>1.2606000000000001E-2</v>
      </c>
      <c r="CG249" s="59">
        <f t="shared" si="475"/>
        <v>-50</v>
      </c>
      <c r="CH249">
        <f t="shared" si="476"/>
        <v>-50</v>
      </c>
    </row>
    <row r="250" spans="5:86" x14ac:dyDescent="0.25">
      <c r="E250" s="150">
        <v>34</v>
      </c>
      <c r="F250" s="191">
        <f t="shared" si="477"/>
        <v>3.4000000000000002E-2</v>
      </c>
      <c r="G250" s="191"/>
      <c r="H250" s="191">
        <f t="shared" si="443"/>
        <v>0.51</v>
      </c>
      <c r="I250" s="472">
        <f t="shared" si="444"/>
        <v>26</v>
      </c>
      <c r="J250" s="386">
        <f t="shared" si="445"/>
        <v>15.32</v>
      </c>
      <c r="K250" s="386">
        <f t="shared" si="446"/>
        <v>41.32</v>
      </c>
      <c r="L250" s="386"/>
      <c r="M250" s="191">
        <f t="shared" si="447"/>
        <v>0.37076476282671827</v>
      </c>
      <c r="N250" s="152">
        <f t="shared" si="448"/>
        <v>3.3254522666886368</v>
      </c>
      <c r="O250" s="152">
        <f t="shared" si="363"/>
        <v>0.51</v>
      </c>
      <c r="P250" s="191">
        <f t="shared" si="449"/>
        <v>0.22169681777924247</v>
      </c>
      <c r="Q250" s="191">
        <f t="shared" si="450"/>
        <v>15</v>
      </c>
      <c r="R250" s="191"/>
      <c r="S250" s="152">
        <f t="shared" si="451"/>
        <v>232.12402885715687</v>
      </c>
      <c r="T250" s="152">
        <f t="shared" si="452"/>
        <v>15</v>
      </c>
      <c r="U250" s="191">
        <f t="shared" si="453"/>
        <v>0.11756711521724576</v>
      </c>
      <c r="V250" s="191">
        <f t="shared" si="454"/>
        <v>0.21252516981579039</v>
      </c>
      <c r="W250" s="191">
        <f t="shared" si="455"/>
        <v>0.36068240308162858</v>
      </c>
      <c r="X250" s="175">
        <f t="shared" si="456"/>
        <v>350</v>
      </c>
      <c r="Y250" s="386">
        <f t="shared" si="418"/>
        <v>350</v>
      </c>
      <c r="AA250" s="191">
        <f t="shared" si="457"/>
        <v>0.58601117528843016</v>
      </c>
      <c r="AB250" s="153">
        <f t="shared" si="458"/>
        <v>1.7978149633522333</v>
      </c>
      <c r="AC250" s="153">
        <f t="shared" si="459"/>
        <v>0.18436944043440445</v>
      </c>
      <c r="AD250" s="153"/>
      <c r="AE250" s="153">
        <f t="shared" si="460"/>
        <v>0.46018276762402083</v>
      </c>
      <c r="AF250" s="317">
        <f t="shared" si="461"/>
        <v>985.11583924349907</v>
      </c>
      <c r="AG250" s="463">
        <f t="shared" si="462"/>
        <v>1.2079797650130546E-2</v>
      </c>
      <c r="AI250" s="153">
        <f t="shared" si="463"/>
        <v>0.25165229063121841</v>
      </c>
      <c r="AJ250" s="153">
        <f t="shared" si="464"/>
        <v>0.25165229063121841</v>
      </c>
      <c r="AK250" s="153">
        <f t="shared" si="465"/>
        <v>1.2677681937541456</v>
      </c>
      <c r="AM250" s="317">
        <f t="shared" si="466"/>
        <v>34</v>
      </c>
      <c r="AN250" s="147">
        <f t="shared" si="467"/>
        <v>350</v>
      </c>
      <c r="AP250">
        <f t="shared" si="468"/>
        <v>34</v>
      </c>
      <c r="AQ250">
        <f t="shared" si="469"/>
        <v>350</v>
      </c>
      <c r="AS250" s="5">
        <f t="shared" si="364"/>
        <v>2.8571428571428572</v>
      </c>
      <c r="AT250" s="5">
        <f t="shared" si="470"/>
        <v>0.45490990998720249</v>
      </c>
      <c r="AU250" s="5">
        <f t="shared" si="440"/>
        <v>2.4022329471556549</v>
      </c>
      <c r="AV250" s="5"/>
      <c r="AW250" s="153">
        <f t="shared" si="441"/>
        <v>0.15921846849552088</v>
      </c>
      <c r="AX250" s="153"/>
      <c r="BA250" s="147">
        <f t="shared" si="471"/>
        <v>2.7597754264171033</v>
      </c>
      <c r="BB250" s="147">
        <f t="shared" si="472"/>
        <v>0.96147694352662716</v>
      </c>
      <c r="BC250" s="5">
        <f t="shared" si="442"/>
        <v>6.9808478806232713E-2</v>
      </c>
      <c r="BD250" s="147">
        <f t="shared" si="473"/>
        <v>0</v>
      </c>
      <c r="BQ250" s="463">
        <f t="shared" si="474"/>
        <v>1.2988E-2</v>
      </c>
      <c r="CG250" s="59">
        <f t="shared" si="475"/>
        <v>-50</v>
      </c>
      <c r="CH250">
        <f t="shared" si="476"/>
        <v>-50</v>
      </c>
    </row>
    <row r="251" spans="5:86" x14ac:dyDescent="0.25">
      <c r="E251" s="150">
        <v>35</v>
      </c>
      <c r="F251" s="191">
        <f t="shared" si="477"/>
        <v>3.4999999999999996E-2</v>
      </c>
      <c r="G251" s="191"/>
      <c r="H251" s="191">
        <f t="shared" si="443"/>
        <v>0.52499999999999991</v>
      </c>
      <c r="I251" s="472">
        <f t="shared" si="444"/>
        <v>26</v>
      </c>
      <c r="J251" s="386">
        <f t="shared" si="445"/>
        <v>15.32</v>
      </c>
      <c r="K251" s="386">
        <f t="shared" si="446"/>
        <v>41.32</v>
      </c>
      <c r="L251" s="386"/>
      <c r="M251" s="191">
        <f t="shared" si="447"/>
        <v>0.37076476282671827</v>
      </c>
      <c r="N251" s="152">
        <f t="shared" si="448"/>
        <v>3.3254522666886368</v>
      </c>
      <c r="O251" s="152">
        <f t="shared" si="363"/>
        <v>0.52499999999999991</v>
      </c>
      <c r="P251" s="191">
        <f t="shared" si="449"/>
        <v>0.22169681777924247</v>
      </c>
      <c r="Q251" s="191">
        <f t="shared" si="450"/>
        <v>15</v>
      </c>
      <c r="R251" s="191"/>
      <c r="S251" s="152">
        <f t="shared" si="451"/>
        <v>224.75125178584747</v>
      </c>
      <c r="T251" s="152">
        <f t="shared" si="452"/>
        <v>15</v>
      </c>
      <c r="U251" s="191">
        <f t="shared" si="453"/>
        <v>0.12102497154716473</v>
      </c>
      <c r="V251" s="191">
        <f t="shared" si="454"/>
        <v>0.21877591010449007</v>
      </c>
      <c r="W251" s="191">
        <f t="shared" si="455"/>
        <v>0.37129070905461758</v>
      </c>
      <c r="X251" s="175">
        <f t="shared" si="456"/>
        <v>350</v>
      </c>
      <c r="Y251" s="386">
        <f t="shared" si="418"/>
        <v>350</v>
      </c>
      <c r="AA251" s="191">
        <f t="shared" si="457"/>
        <v>0.58601117528843016</v>
      </c>
      <c r="AB251" s="153">
        <f t="shared" si="458"/>
        <v>1.7978149633522333</v>
      </c>
      <c r="AC251" s="153">
        <f t="shared" si="459"/>
        <v>0.18436944043440445</v>
      </c>
      <c r="AD251" s="153"/>
      <c r="AE251" s="153">
        <f t="shared" si="460"/>
        <v>0.46018276762402083</v>
      </c>
      <c r="AF251" s="317">
        <f t="shared" si="461"/>
        <v>1014.0898345153665</v>
      </c>
      <c r="AG251" s="463">
        <f t="shared" si="462"/>
        <v>1.2079797650130546E-2</v>
      </c>
      <c r="AI251" s="153">
        <f t="shared" si="463"/>
        <v>0.25532624103625173</v>
      </c>
      <c r="AJ251" s="153">
        <f t="shared" si="464"/>
        <v>0.25532624103625173</v>
      </c>
      <c r="AK251" s="153">
        <f t="shared" si="465"/>
        <v>1.2702174940241677</v>
      </c>
      <c r="AM251" s="317">
        <f t="shared" si="466"/>
        <v>34.999999999999993</v>
      </c>
      <c r="AN251" s="147">
        <f t="shared" si="467"/>
        <v>350</v>
      </c>
      <c r="AP251">
        <f t="shared" si="468"/>
        <v>34.999999999999993</v>
      </c>
      <c r="AQ251">
        <f t="shared" si="469"/>
        <v>350</v>
      </c>
      <c r="AS251" s="5">
        <f t="shared" si="364"/>
        <v>2.8571428571428572</v>
      </c>
      <c r="AT251" s="5">
        <f t="shared" si="470"/>
        <v>0.46155128187322425</v>
      </c>
      <c r="AU251" s="5">
        <f t="shared" si="440"/>
        <v>2.3955915752696328</v>
      </c>
      <c r="AV251" s="5"/>
      <c r="AW251" s="153">
        <f t="shared" si="441"/>
        <v>0.16154294865562849</v>
      </c>
      <c r="AX251" s="153"/>
      <c r="BA251" s="147">
        <f t="shared" si="471"/>
        <v>2.7597754264171033</v>
      </c>
      <c r="BB251" s="147">
        <f t="shared" si="472"/>
        <v>1.0157779029585796</v>
      </c>
      <c r="BC251" s="5">
        <f t="shared" si="442"/>
        <v>7.1662995841399263E-2</v>
      </c>
      <c r="BD251" s="147">
        <f t="shared" si="473"/>
        <v>0</v>
      </c>
      <c r="BQ251" s="463">
        <f t="shared" si="474"/>
        <v>1.3369999999999998E-2</v>
      </c>
      <c r="CG251" s="59">
        <f t="shared" si="475"/>
        <v>-50</v>
      </c>
      <c r="CH251">
        <f t="shared" si="476"/>
        <v>-50</v>
      </c>
    </row>
    <row r="252" spans="5:86" x14ac:dyDescent="0.25">
      <c r="E252" s="150">
        <v>36</v>
      </c>
      <c r="F252" s="191">
        <f t="shared" si="477"/>
        <v>3.5999999999999997E-2</v>
      </c>
      <c r="G252" s="191"/>
      <c r="H252" s="191">
        <f t="shared" si="443"/>
        <v>0.53999999999999992</v>
      </c>
      <c r="I252" s="472">
        <f t="shared" si="444"/>
        <v>26</v>
      </c>
      <c r="J252" s="386">
        <f t="shared" si="445"/>
        <v>15.32</v>
      </c>
      <c r="K252" s="386">
        <f t="shared" si="446"/>
        <v>41.32</v>
      </c>
      <c r="L252" s="386"/>
      <c r="M252" s="191">
        <f t="shared" si="447"/>
        <v>0.37076476282671827</v>
      </c>
      <c r="N252" s="152">
        <f t="shared" si="448"/>
        <v>3.3254522666886368</v>
      </c>
      <c r="O252" s="152">
        <f t="shared" si="363"/>
        <v>0.53999999999999992</v>
      </c>
      <c r="P252" s="191">
        <f t="shared" si="449"/>
        <v>0.22169681777924247</v>
      </c>
      <c r="Q252" s="191">
        <f t="shared" si="450"/>
        <v>15</v>
      </c>
      <c r="R252" s="191"/>
      <c r="S252" s="152">
        <f t="shared" si="451"/>
        <v>217.78814621390552</v>
      </c>
      <c r="T252" s="152">
        <f t="shared" si="452"/>
        <v>15</v>
      </c>
      <c r="U252" s="191">
        <f t="shared" si="453"/>
        <v>0.12448282787708373</v>
      </c>
      <c r="V252" s="191">
        <f t="shared" si="454"/>
        <v>0.22502665039318984</v>
      </c>
      <c r="W252" s="191">
        <f t="shared" si="455"/>
        <v>0.38189901502760676</v>
      </c>
      <c r="X252" s="175">
        <f t="shared" si="456"/>
        <v>350</v>
      </c>
      <c r="Y252" s="386">
        <f t="shared" si="418"/>
        <v>350</v>
      </c>
      <c r="AA252" s="191">
        <f t="shared" si="457"/>
        <v>0.58601117528843016</v>
      </c>
      <c r="AB252" s="153">
        <f t="shared" si="458"/>
        <v>1.7978149633522333</v>
      </c>
      <c r="AC252" s="153">
        <f t="shared" si="459"/>
        <v>0.18436944043440445</v>
      </c>
      <c r="AD252" s="153"/>
      <c r="AE252" s="153">
        <f t="shared" si="460"/>
        <v>0.46018276762402083</v>
      </c>
      <c r="AF252" s="317">
        <f t="shared" si="461"/>
        <v>1043.0638297872342</v>
      </c>
      <c r="AG252" s="463">
        <f t="shared" si="462"/>
        <v>1.2079797650130546E-2</v>
      </c>
      <c r="AI252" s="153">
        <f t="shared" si="463"/>
        <v>0.2589480707467523</v>
      </c>
      <c r="AJ252" s="153">
        <f t="shared" si="464"/>
        <v>0.2589480707467523</v>
      </c>
      <c r="AK252" s="153">
        <f t="shared" si="465"/>
        <v>1.2726320471645014</v>
      </c>
      <c r="AM252" s="317">
        <f t="shared" si="466"/>
        <v>36</v>
      </c>
      <c r="AN252" s="147">
        <f t="shared" si="467"/>
        <v>350</v>
      </c>
      <c r="AP252">
        <f t="shared" si="468"/>
        <v>36</v>
      </c>
      <c r="AQ252">
        <f t="shared" si="469"/>
        <v>350</v>
      </c>
      <c r="AS252" s="5">
        <f t="shared" si="364"/>
        <v>2.8571428571428572</v>
      </c>
      <c r="AT252" s="5">
        <f t="shared" si="470"/>
        <v>0.46809843558066755</v>
      </c>
      <c r="AU252" s="5">
        <f t="shared" si="440"/>
        <v>2.3890444215621898</v>
      </c>
      <c r="AV252" s="5"/>
      <c r="AW252" s="153">
        <f t="shared" si="441"/>
        <v>0.16383445245323364</v>
      </c>
      <c r="AX252" s="153"/>
      <c r="BA252" s="147">
        <f t="shared" si="471"/>
        <v>2.7597754264171033</v>
      </c>
      <c r="BB252" s="147">
        <f t="shared" si="472"/>
        <v>1.0715658467218931</v>
      </c>
      <c r="BC252" s="5">
        <f t="shared" si="442"/>
        <v>7.3509059124990436E-2</v>
      </c>
      <c r="BD252" s="147">
        <f t="shared" si="473"/>
        <v>0</v>
      </c>
      <c r="BQ252" s="463">
        <f t="shared" si="474"/>
        <v>1.3751999999999999E-2</v>
      </c>
      <c r="CG252" s="59">
        <f t="shared" si="475"/>
        <v>-50</v>
      </c>
      <c r="CH252">
        <f t="shared" si="476"/>
        <v>-50</v>
      </c>
    </row>
    <row r="253" spans="5:86" x14ac:dyDescent="0.25">
      <c r="E253" s="150">
        <v>37</v>
      </c>
      <c r="F253" s="191">
        <f t="shared" si="477"/>
        <v>3.6999999999999998E-2</v>
      </c>
      <c r="G253" s="191"/>
      <c r="H253" s="191">
        <f t="shared" si="443"/>
        <v>0.55499999999999994</v>
      </c>
      <c r="I253" s="472">
        <f t="shared" si="444"/>
        <v>26</v>
      </c>
      <c r="J253" s="386">
        <f t="shared" si="445"/>
        <v>15.32</v>
      </c>
      <c r="K253" s="386">
        <f t="shared" si="446"/>
        <v>41.32</v>
      </c>
      <c r="L253" s="386"/>
      <c r="M253" s="191">
        <f t="shared" si="447"/>
        <v>0.37076476282671827</v>
      </c>
      <c r="N253" s="152">
        <f t="shared" si="448"/>
        <v>3.3254522666886368</v>
      </c>
      <c r="O253" s="152">
        <f t="shared" si="363"/>
        <v>0.55499999999999994</v>
      </c>
      <c r="P253" s="191">
        <f t="shared" si="449"/>
        <v>0.22169681777924247</v>
      </c>
      <c r="Q253" s="191">
        <f t="shared" si="450"/>
        <v>15</v>
      </c>
      <c r="R253" s="191"/>
      <c r="S253" s="152">
        <f t="shared" si="451"/>
        <v>211.20149622583165</v>
      </c>
      <c r="T253" s="152">
        <f t="shared" si="452"/>
        <v>15</v>
      </c>
      <c r="U253" s="191">
        <f t="shared" si="453"/>
        <v>0.12794068420700272</v>
      </c>
      <c r="V253" s="191">
        <f t="shared" si="454"/>
        <v>0.23127739068188949</v>
      </c>
      <c r="W253" s="191">
        <f t="shared" si="455"/>
        <v>0.39250732100059577</v>
      </c>
      <c r="X253" s="175">
        <f t="shared" si="456"/>
        <v>350</v>
      </c>
      <c r="Y253" s="386">
        <f t="shared" si="418"/>
        <v>350</v>
      </c>
      <c r="AA253" s="191">
        <f t="shared" si="457"/>
        <v>0.58601117528843016</v>
      </c>
      <c r="AB253" s="153">
        <f t="shared" si="458"/>
        <v>1.7978149633522333</v>
      </c>
      <c r="AC253" s="153">
        <f t="shared" si="459"/>
        <v>0.18436944043440445</v>
      </c>
      <c r="AD253" s="153"/>
      <c r="AE253" s="153">
        <f t="shared" si="460"/>
        <v>0.46018276762402083</v>
      </c>
      <c r="AF253" s="317">
        <f t="shared" si="461"/>
        <v>1072.0378250591018</v>
      </c>
      <c r="AG253" s="463">
        <f t="shared" si="462"/>
        <v>1.2079797650130546E-2</v>
      </c>
      <c r="AI253" s="153">
        <f t="shared" si="463"/>
        <v>0.26251993700522624</v>
      </c>
      <c r="AJ253" s="153">
        <f t="shared" si="464"/>
        <v>0.26251993700522624</v>
      </c>
      <c r="AK253" s="153">
        <f t="shared" si="465"/>
        <v>1.2750132913368175</v>
      </c>
      <c r="AM253" s="317">
        <f t="shared" si="466"/>
        <v>37</v>
      </c>
      <c r="AN253" s="147">
        <f t="shared" si="467"/>
        <v>350</v>
      </c>
      <c r="AP253">
        <f t="shared" si="468"/>
        <v>37</v>
      </c>
      <c r="AQ253">
        <f t="shared" si="469"/>
        <v>350</v>
      </c>
      <c r="AS253" s="5">
        <f t="shared" si="364"/>
        <v>2.8571428571428572</v>
      </c>
      <c r="AT253" s="5">
        <f t="shared" si="470"/>
        <v>0.47455527074021669</v>
      </c>
      <c r="AU253" s="5">
        <f t="shared" si="440"/>
        <v>2.3825875864026407</v>
      </c>
      <c r="AV253" s="5"/>
      <c r="AW253" s="153">
        <f t="shared" si="441"/>
        <v>0.16609434475907583</v>
      </c>
      <c r="AX253" s="153"/>
      <c r="BA253" s="147">
        <f t="shared" si="471"/>
        <v>2.7597754264171033</v>
      </c>
      <c r="BB253" s="147">
        <f t="shared" si="472"/>
        <v>1.1288407748165676</v>
      </c>
      <c r="BC253" s="5">
        <f t="shared" si="442"/>
        <v>7.5346786920425374E-2</v>
      </c>
      <c r="BD253" s="147">
        <f t="shared" si="473"/>
        <v>0</v>
      </c>
      <c r="BQ253" s="463">
        <f t="shared" si="474"/>
        <v>1.4134000000000001E-2</v>
      </c>
      <c r="CG253" s="59">
        <f t="shared" si="475"/>
        <v>-50</v>
      </c>
      <c r="CH253">
        <f t="shared" si="476"/>
        <v>-50</v>
      </c>
    </row>
    <row r="254" spans="5:86" x14ac:dyDescent="0.25">
      <c r="E254" s="150">
        <v>38</v>
      </c>
      <c r="F254" s="191">
        <f t="shared" si="477"/>
        <v>3.8000000000000006E-2</v>
      </c>
      <c r="G254" s="191"/>
      <c r="H254" s="191">
        <f t="shared" si="443"/>
        <v>0.57000000000000006</v>
      </c>
      <c r="I254" s="472">
        <f t="shared" si="444"/>
        <v>26</v>
      </c>
      <c r="J254" s="386">
        <f t="shared" si="445"/>
        <v>15.32</v>
      </c>
      <c r="K254" s="386">
        <f t="shared" si="446"/>
        <v>41.32</v>
      </c>
      <c r="L254" s="386"/>
      <c r="M254" s="191">
        <f t="shared" si="447"/>
        <v>0.37076476282671827</v>
      </c>
      <c r="N254" s="152">
        <f t="shared" si="448"/>
        <v>3.3254522666886368</v>
      </c>
      <c r="O254" s="152">
        <f t="shared" si="363"/>
        <v>0.57000000000000006</v>
      </c>
      <c r="P254" s="191">
        <f t="shared" si="449"/>
        <v>0.22169681777924247</v>
      </c>
      <c r="Q254" s="191">
        <f t="shared" si="450"/>
        <v>15</v>
      </c>
      <c r="R254" s="191"/>
      <c r="S254" s="152">
        <f t="shared" si="451"/>
        <v>204.96158232696456</v>
      </c>
      <c r="T254" s="152">
        <f t="shared" si="452"/>
        <v>15</v>
      </c>
      <c r="U254" s="191">
        <f t="shared" si="453"/>
        <v>0.13139854053692174</v>
      </c>
      <c r="V254" s="191">
        <f t="shared" si="454"/>
        <v>0.23752813097058928</v>
      </c>
      <c r="W254" s="191">
        <f t="shared" si="455"/>
        <v>0.40311562697358494</v>
      </c>
      <c r="X254" s="175">
        <f t="shared" si="456"/>
        <v>350</v>
      </c>
      <c r="Y254" s="386">
        <f t="shared" si="418"/>
        <v>350</v>
      </c>
      <c r="AA254" s="191">
        <f t="shared" si="457"/>
        <v>0.58601117528843016</v>
      </c>
      <c r="AB254" s="153">
        <f t="shared" si="458"/>
        <v>1.7978149633522333</v>
      </c>
      <c r="AC254" s="153">
        <f t="shared" si="459"/>
        <v>0.18436944043440445</v>
      </c>
      <c r="AD254" s="153"/>
      <c r="AE254" s="153">
        <f t="shared" si="460"/>
        <v>0.46018276762402083</v>
      </c>
      <c r="AF254" s="317">
        <f t="shared" si="461"/>
        <v>1101.0118203309698</v>
      </c>
      <c r="AG254" s="463">
        <f t="shared" si="462"/>
        <v>1.2079797650130546E-2</v>
      </c>
      <c r="AI254" s="153">
        <f t="shared" si="463"/>
        <v>0.26604385222551358</v>
      </c>
      <c r="AJ254" s="153">
        <f t="shared" si="464"/>
        <v>0.26604385222551358</v>
      </c>
      <c r="AK254" s="153">
        <f t="shared" si="465"/>
        <v>1.2773625681503424</v>
      </c>
      <c r="AM254" s="317">
        <f t="shared" si="466"/>
        <v>38.000000000000007</v>
      </c>
      <c r="AN254" s="147">
        <f t="shared" si="467"/>
        <v>350</v>
      </c>
      <c r="AP254">
        <f t="shared" si="468"/>
        <v>38.000000000000007</v>
      </c>
      <c r="AQ254">
        <f t="shared" si="469"/>
        <v>350</v>
      </c>
      <c r="AS254" s="5">
        <f t="shared" si="364"/>
        <v>2.8571428571428572</v>
      </c>
      <c r="AT254" s="5">
        <f t="shared" si="470"/>
        <v>0.48092542517688985</v>
      </c>
      <c r="AU254" s="5">
        <f t="shared" si="440"/>
        <v>2.3762174319659675</v>
      </c>
      <c r="AV254" s="5"/>
      <c r="AW254" s="153">
        <f t="shared" si="441"/>
        <v>0.16832389881191145</v>
      </c>
      <c r="AX254" s="153"/>
      <c r="BA254" s="147">
        <f t="shared" si="471"/>
        <v>2.7597754264171033</v>
      </c>
      <c r="BB254" s="147">
        <f t="shared" si="472"/>
        <v>1.1876026872426038</v>
      </c>
      <c r="BC254" s="5">
        <f t="shared" si="442"/>
        <v>7.7176292662142543E-2</v>
      </c>
      <c r="BD254" s="147">
        <f t="shared" si="473"/>
        <v>0</v>
      </c>
      <c r="BQ254" s="463">
        <f t="shared" si="474"/>
        <v>1.4516000000000003E-2</v>
      </c>
      <c r="CG254" s="59">
        <f t="shared" si="475"/>
        <v>-50</v>
      </c>
      <c r="CH254">
        <f t="shared" si="476"/>
        <v>-50</v>
      </c>
    </row>
    <row r="255" spans="5:86" x14ac:dyDescent="0.25">
      <c r="E255" s="150">
        <v>39</v>
      </c>
      <c r="F255" s="191">
        <f t="shared" si="477"/>
        <v>3.9000000000000007E-2</v>
      </c>
      <c r="G255" s="191"/>
      <c r="H255" s="191">
        <f t="shared" si="443"/>
        <v>0.58500000000000008</v>
      </c>
      <c r="I255" s="472">
        <f t="shared" si="444"/>
        <v>26</v>
      </c>
      <c r="J255" s="386">
        <f t="shared" si="445"/>
        <v>15.32</v>
      </c>
      <c r="K255" s="386">
        <f t="shared" si="446"/>
        <v>41.32</v>
      </c>
      <c r="L255" s="386"/>
      <c r="M255" s="191">
        <f t="shared" si="447"/>
        <v>0.37076476282671827</v>
      </c>
      <c r="N255" s="152">
        <f t="shared" si="448"/>
        <v>3.3254522666886368</v>
      </c>
      <c r="O255" s="152">
        <f t="shared" si="363"/>
        <v>0.58500000000000008</v>
      </c>
      <c r="P255" s="191">
        <f t="shared" si="449"/>
        <v>0.22169681777924247</v>
      </c>
      <c r="Q255" s="191">
        <f t="shared" si="450"/>
        <v>15</v>
      </c>
      <c r="R255" s="191"/>
      <c r="S255" s="152">
        <f t="shared" si="451"/>
        <v>199.04173318453391</v>
      </c>
      <c r="T255" s="152">
        <f t="shared" si="452"/>
        <v>15</v>
      </c>
      <c r="U255" s="191">
        <f t="shared" si="453"/>
        <v>0.13485639686684073</v>
      </c>
      <c r="V255" s="191">
        <f t="shared" si="454"/>
        <v>0.24377887125928896</v>
      </c>
      <c r="W255" s="191">
        <f t="shared" si="455"/>
        <v>0.413723932946574</v>
      </c>
      <c r="X255" s="175">
        <f t="shared" si="456"/>
        <v>350</v>
      </c>
      <c r="Y255" s="386">
        <f t="shared" si="418"/>
        <v>350</v>
      </c>
      <c r="AA255" s="191">
        <f t="shared" si="457"/>
        <v>0.58601117528843016</v>
      </c>
      <c r="AB255" s="153">
        <f t="shared" si="458"/>
        <v>1.7978149633522333</v>
      </c>
      <c r="AC255" s="153">
        <f t="shared" si="459"/>
        <v>0.18436944043440445</v>
      </c>
      <c r="AD255" s="153"/>
      <c r="AE255" s="153">
        <f t="shared" si="460"/>
        <v>0.46018276762402083</v>
      </c>
      <c r="AF255" s="317">
        <f t="shared" si="461"/>
        <v>1129.9858156028374</v>
      </c>
      <c r="AG255" s="463">
        <f t="shared" si="462"/>
        <v>1.2079797650130546E-2</v>
      </c>
      <c r="AI255" s="153">
        <f t="shared" si="463"/>
        <v>0.26952169725043251</v>
      </c>
      <c r="AJ255" s="153">
        <f t="shared" si="464"/>
        <v>0.26952169725043251</v>
      </c>
      <c r="AK255" s="153">
        <f t="shared" si="465"/>
        <v>1.2796811315002883</v>
      </c>
      <c r="AM255" s="317">
        <f t="shared" si="466"/>
        <v>39.000000000000007</v>
      </c>
      <c r="AN255" s="147">
        <f t="shared" si="467"/>
        <v>350</v>
      </c>
      <c r="AP255">
        <f t="shared" si="468"/>
        <v>39.000000000000007</v>
      </c>
      <c r="AQ255">
        <f t="shared" si="469"/>
        <v>350</v>
      </c>
      <c r="AS255" s="5">
        <f t="shared" si="364"/>
        <v>2.8571428571428572</v>
      </c>
      <c r="AT255" s="5">
        <f t="shared" si="470"/>
        <v>0.48721229887578188</v>
      </c>
      <c r="AU255" s="5">
        <f t="shared" si="440"/>
        <v>2.3699305582670753</v>
      </c>
      <c r="AV255" s="5"/>
      <c r="AW255" s="153">
        <f t="shared" si="441"/>
        <v>0.17052430460652365</v>
      </c>
      <c r="AX255" s="153"/>
      <c r="BA255" s="147">
        <f t="shared" si="471"/>
        <v>2.7597754264171033</v>
      </c>
      <c r="BB255" s="147">
        <f t="shared" si="472"/>
        <v>1.247851584</v>
      </c>
      <c r="BC255" s="5">
        <f t="shared" si="442"/>
        <v>7.8997685275569177E-2</v>
      </c>
      <c r="BD255" s="147">
        <f t="shared" si="473"/>
        <v>0</v>
      </c>
      <c r="BQ255" s="463">
        <f t="shared" si="474"/>
        <v>1.4898000000000002E-2</v>
      </c>
      <c r="CG255" s="59">
        <f t="shared" si="475"/>
        <v>-50</v>
      </c>
      <c r="CH255">
        <f t="shared" si="476"/>
        <v>-50</v>
      </c>
    </row>
    <row r="256" spans="5:86" x14ac:dyDescent="0.25">
      <c r="E256" s="150">
        <v>40</v>
      </c>
      <c r="F256" s="191">
        <f t="shared" si="477"/>
        <v>4.0000000000000008E-2</v>
      </c>
      <c r="G256" s="191"/>
      <c r="H256" s="191">
        <f t="shared" si="443"/>
        <v>0.60000000000000009</v>
      </c>
      <c r="I256" s="472">
        <f t="shared" si="444"/>
        <v>26</v>
      </c>
      <c r="J256" s="386">
        <f t="shared" si="445"/>
        <v>15.32</v>
      </c>
      <c r="K256" s="386">
        <f t="shared" si="446"/>
        <v>41.32</v>
      </c>
      <c r="L256" s="386"/>
      <c r="M256" s="191">
        <f t="shared" si="447"/>
        <v>0.37076476282671827</v>
      </c>
      <c r="N256" s="152">
        <f t="shared" si="448"/>
        <v>3.3254522666886368</v>
      </c>
      <c r="O256" s="152">
        <f t="shared" si="363"/>
        <v>0.60000000000000009</v>
      </c>
      <c r="P256" s="191">
        <f t="shared" si="449"/>
        <v>0.22169681777924247</v>
      </c>
      <c r="Q256" s="191">
        <f t="shared" si="450"/>
        <v>15</v>
      </c>
      <c r="R256" s="191"/>
      <c r="S256" s="152">
        <f t="shared" si="451"/>
        <v>193.41794460755659</v>
      </c>
      <c r="T256" s="152">
        <f t="shared" si="452"/>
        <v>15</v>
      </c>
      <c r="U256" s="191">
        <f t="shared" si="453"/>
        <v>0.13831425319675975</v>
      </c>
      <c r="V256" s="191">
        <f t="shared" si="454"/>
        <v>0.25002961154798875</v>
      </c>
      <c r="W256" s="191">
        <f t="shared" si="455"/>
        <v>0.42433223891956312</v>
      </c>
      <c r="X256" s="175">
        <f t="shared" si="456"/>
        <v>350</v>
      </c>
      <c r="Y256" s="386">
        <f t="shared" si="418"/>
        <v>350</v>
      </c>
      <c r="AA256" s="191">
        <f t="shared" si="457"/>
        <v>0.58601117528843016</v>
      </c>
      <c r="AB256" s="153">
        <f t="shared" si="458"/>
        <v>1.7978149633522333</v>
      </c>
      <c r="AC256" s="153">
        <f t="shared" si="459"/>
        <v>0.18436944043440445</v>
      </c>
      <c r="AD256" s="153"/>
      <c r="AE256" s="153">
        <f t="shared" si="460"/>
        <v>0.46018276762402083</v>
      </c>
      <c r="AF256" s="317">
        <f t="shared" si="461"/>
        <v>1158.959810874705</v>
      </c>
      <c r="AG256" s="463">
        <f t="shared" si="462"/>
        <v>1.2079797650130546E-2</v>
      </c>
      <c r="AI256" s="153">
        <f t="shared" si="463"/>
        <v>0.27295523308871866</v>
      </c>
      <c r="AJ256" s="153">
        <f t="shared" si="464"/>
        <v>0.27295523308871866</v>
      </c>
      <c r="AK256" s="153">
        <f t="shared" si="465"/>
        <v>1.2819701553924792</v>
      </c>
      <c r="AM256" s="317">
        <f t="shared" si="466"/>
        <v>40.000000000000007</v>
      </c>
      <c r="AN256" s="147">
        <f t="shared" si="467"/>
        <v>350</v>
      </c>
      <c r="AP256">
        <f t="shared" si="468"/>
        <v>40.000000000000007</v>
      </c>
      <c r="AQ256">
        <f t="shared" si="469"/>
        <v>350</v>
      </c>
      <c r="AS256" s="5">
        <f t="shared" si="364"/>
        <v>2.8571428571428572</v>
      </c>
      <c r="AT256" s="5">
        <f t="shared" si="470"/>
        <v>0.49341907519883754</v>
      </c>
      <c r="AU256" s="5">
        <f t="shared" si="440"/>
        <v>2.3637237819440196</v>
      </c>
      <c r="AV256" s="5"/>
      <c r="AW256" s="153">
        <f t="shared" si="441"/>
        <v>0.17269667631959312</v>
      </c>
      <c r="AX256" s="153"/>
      <c r="BA256" s="147">
        <f t="shared" si="471"/>
        <v>2.7597754264171033</v>
      </c>
      <c r="BB256" s="147">
        <f t="shared" si="472"/>
        <v>1.3095874650887576</v>
      </c>
      <c r="BC256" s="5">
        <f t="shared" si="442"/>
        <v>8.0811069468171612E-2</v>
      </c>
      <c r="BD256" s="147">
        <f t="shared" si="473"/>
        <v>0</v>
      </c>
      <c r="BQ256" s="463">
        <f t="shared" si="474"/>
        <v>1.5280000000000004E-2</v>
      </c>
      <c r="CG256" s="59">
        <f t="shared" si="475"/>
        <v>-50</v>
      </c>
      <c r="CH256">
        <f t="shared" si="476"/>
        <v>-50</v>
      </c>
    </row>
    <row r="257" spans="5:86" x14ac:dyDescent="0.25">
      <c r="E257" s="150">
        <v>41</v>
      </c>
      <c r="F257" s="191">
        <f t="shared" si="477"/>
        <v>4.1000000000000002E-2</v>
      </c>
      <c r="G257" s="191"/>
      <c r="H257" s="191">
        <f t="shared" si="443"/>
        <v>0.61499999999999999</v>
      </c>
      <c r="I257" s="472">
        <f t="shared" si="444"/>
        <v>26</v>
      </c>
      <c r="J257" s="386">
        <f t="shared" si="445"/>
        <v>15.32</v>
      </c>
      <c r="K257" s="386">
        <f t="shared" si="446"/>
        <v>41.32</v>
      </c>
      <c r="L257" s="386"/>
      <c r="M257" s="191">
        <f t="shared" si="447"/>
        <v>0.37076476282671827</v>
      </c>
      <c r="N257" s="152">
        <f t="shared" si="448"/>
        <v>3.3254522666886368</v>
      </c>
      <c r="O257" s="152">
        <f t="shared" si="363"/>
        <v>0.61499999999999999</v>
      </c>
      <c r="P257" s="191">
        <f t="shared" si="449"/>
        <v>0.22169681777924247</v>
      </c>
      <c r="Q257" s="191">
        <f t="shared" si="450"/>
        <v>15</v>
      </c>
      <c r="R257" s="191"/>
      <c r="S257" s="152">
        <f t="shared" si="451"/>
        <v>188.06855428577614</v>
      </c>
      <c r="T257" s="152">
        <f t="shared" si="452"/>
        <v>15</v>
      </c>
      <c r="U257" s="191">
        <f t="shared" si="453"/>
        <v>0.14177210952667871</v>
      </c>
      <c r="V257" s="191">
        <f t="shared" si="454"/>
        <v>0.2562803518366884</v>
      </c>
      <c r="W257" s="191">
        <f t="shared" si="455"/>
        <v>0.43494054489255213</v>
      </c>
      <c r="X257" s="175">
        <f t="shared" si="456"/>
        <v>350</v>
      </c>
      <c r="Y257" s="386">
        <f t="shared" si="418"/>
        <v>350</v>
      </c>
      <c r="AA257" s="191">
        <f t="shared" si="457"/>
        <v>0.58601117528843016</v>
      </c>
      <c r="AB257" s="153">
        <f t="shared" si="458"/>
        <v>1.7978149633522333</v>
      </c>
      <c r="AC257" s="153">
        <f t="shared" si="459"/>
        <v>0.18436944043440445</v>
      </c>
      <c r="AD257" s="153"/>
      <c r="AE257" s="153">
        <f t="shared" si="460"/>
        <v>0.46018276762402083</v>
      </c>
      <c r="AF257" s="317">
        <f t="shared" si="461"/>
        <v>1187.9338061465724</v>
      </c>
      <c r="AG257" s="463">
        <f t="shared" si="462"/>
        <v>1.2079797650130546E-2</v>
      </c>
      <c r="AI257" s="153">
        <f t="shared" si="463"/>
        <v>0.27634611133916764</v>
      </c>
      <c r="AJ257" s="153">
        <f t="shared" si="464"/>
        <v>0.27634611133916764</v>
      </c>
      <c r="AK257" s="153">
        <f t="shared" si="465"/>
        <v>1.2842307408927784</v>
      </c>
      <c r="AM257" s="317">
        <f t="shared" si="466"/>
        <v>41</v>
      </c>
      <c r="AN257" s="147">
        <f t="shared" si="467"/>
        <v>350</v>
      </c>
      <c r="AP257">
        <f t="shared" si="468"/>
        <v>41</v>
      </c>
      <c r="AQ257">
        <f t="shared" si="469"/>
        <v>350</v>
      </c>
      <c r="AS257" s="5">
        <f t="shared" si="364"/>
        <v>2.8571428571428572</v>
      </c>
      <c r="AT257" s="5">
        <f t="shared" si="470"/>
        <v>0.49954873972849528</v>
      </c>
      <c r="AU257" s="5">
        <f t="shared" si="440"/>
        <v>2.357594117414362</v>
      </c>
      <c r="AV257" s="5"/>
      <c r="AW257" s="153">
        <f t="shared" si="441"/>
        <v>0.17484205890497334</v>
      </c>
      <c r="AX257" s="153"/>
      <c r="BA257" s="147">
        <f t="shared" si="471"/>
        <v>2.7597754264171033</v>
      </c>
      <c r="BB257" s="147">
        <f t="shared" si="472"/>
        <v>1.3728103305088759</v>
      </c>
      <c r="BC257" s="5">
        <f t="shared" si="442"/>
        <v>8.2616545994862262E-2</v>
      </c>
      <c r="BD257" s="147">
        <f t="shared" si="473"/>
        <v>0</v>
      </c>
      <c r="BQ257" s="463">
        <f t="shared" si="474"/>
        <v>1.5662000000000002E-2</v>
      </c>
      <c r="CG257" s="59">
        <f t="shared" si="475"/>
        <v>-50</v>
      </c>
      <c r="CH257">
        <f t="shared" si="476"/>
        <v>-50</v>
      </c>
    </row>
    <row r="258" spans="5:86" x14ac:dyDescent="0.25">
      <c r="E258" s="150">
        <v>42</v>
      </c>
      <c r="F258" s="191">
        <f t="shared" si="477"/>
        <v>4.2000000000000003E-2</v>
      </c>
      <c r="G258" s="191"/>
      <c r="H258" s="191">
        <f t="shared" si="443"/>
        <v>0.63</v>
      </c>
      <c r="I258" s="472">
        <f t="shared" si="444"/>
        <v>26</v>
      </c>
      <c r="J258" s="386">
        <f t="shared" si="445"/>
        <v>15.32</v>
      </c>
      <c r="K258" s="386">
        <f t="shared" si="446"/>
        <v>41.32</v>
      </c>
      <c r="L258" s="386"/>
      <c r="M258" s="191">
        <f t="shared" si="447"/>
        <v>0.37076476282671827</v>
      </c>
      <c r="N258" s="152">
        <f t="shared" si="448"/>
        <v>3.3254522666886368</v>
      </c>
      <c r="O258" s="152">
        <f t="shared" si="363"/>
        <v>0.63</v>
      </c>
      <c r="P258" s="191">
        <f t="shared" si="449"/>
        <v>0.22169681777924247</v>
      </c>
      <c r="Q258" s="191">
        <f t="shared" si="450"/>
        <v>15</v>
      </c>
      <c r="R258" s="191"/>
      <c r="S258" s="152">
        <f t="shared" si="451"/>
        <v>182.97396299446962</v>
      </c>
      <c r="T258" s="152">
        <f t="shared" si="452"/>
        <v>15</v>
      </c>
      <c r="U258" s="191">
        <f t="shared" si="453"/>
        <v>0.1452299658565977</v>
      </c>
      <c r="V258" s="191">
        <f t="shared" si="454"/>
        <v>0.26253109212538817</v>
      </c>
      <c r="W258" s="191">
        <f t="shared" si="455"/>
        <v>0.44554885086554125</v>
      </c>
      <c r="X258" s="175">
        <f t="shared" si="456"/>
        <v>350</v>
      </c>
      <c r="Y258" s="386">
        <f t="shared" si="418"/>
        <v>350</v>
      </c>
      <c r="AA258" s="191">
        <f t="shared" si="457"/>
        <v>0.58601117528843016</v>
      </c>
      <c r="AB258" s="153">
        <f t="shared" si="458"/>
        <v>1.7978149633522333</v>
      </c>
      <c r="AC258" s="153">
        <f t="shared" si="459"/>
        <v>0.18436944043440445</v>
      </c>
      <c r="AD258" s="153"/>
      <c r="AE258" s="153">
        <f t="shared" si="460"/>
        <v>0.46018276762402083</v>
      </c>
      <c r="AF258" s="317">
        <f t="shared" si="461"/>
        <v>1216.9078014184402</v>
      </c>
      <c r="AG258" s="463">
        <f t="shared" si="462"/>
        <v>1.2079797650130546E-2</v>
      </c>
      <c r="AI258" s="153">
        <f t="shared" si="463"/>
        <v>0.27969588347711261</v>
      </c>
      <c r="AJ258" s="153">
        <f t="shared" si="464"/>
        <v>0.27969588347711261</v>
      </c>
      <c r="AK258" s="153">
        <f t="shared" si="465"/>
        <v>1.2864639223180752</v>
      </c>
      <c r="AM258" s="317">
        <f t="shared" si="466"/>
        <v>42</v>
      </c>
      <c r="AN258" s="147">
        <f t="shared" si="467"/>
        <v>350</v>
      </c>
      <c r="AP258">
        <f t="shared" si="468"/>
        <v>42</v>
      </c>
      <c r="AQ258">
        <f t="shared" si="469"/>
        <v>350</v>
      </c>
      <c r="AS258" s="5">
        <f t="shared" si="364"/>
        <v>2.8571428571428572</v>
      </c>
      <c r="AT258" s="5">
        <f t="shared" si="470"/>
        <v>0.50560409705478038</v>
      </c>
      <c r="AU258" s="5">
        <f t="shared" si="440"/>
        <v>2.3515387600880766</v>
      </c>
      <c r="AV258" s="5"/>
      <c r="AW258" s="153">
        <f t="shared" si="441"/>
        <v>0.17696143396917313</v>
      </c>
      <c r="AX258" s="153"/>
      <c r="BA258" s="147">
        <f t="shared" si="471"/>
        <v>2.7597754264171033</v>
      </c>
      <c r="BB258" s="147">
        <f t="shared" si="472"/>
        <v>1.4375201802603548</v>
      </c>
      <c r="BC258" s="5">
        <f t="shared" si="442"/>
        <v>8.4414211900597613E-2</v>
      </c>
      <c r="BD258" s="147">
        <f t="shared" si="473"/>
        <v>0</v>
      </c>
      <c r="BQ258" s="463">
        <f t="shared" si="474"/>
        <v>1.6044000000000003E-2</v>
      </c>
      <c r="CG258" s="59">
        <f t="shared" si="475"/>
        <v>-50</v>
      </c>
      <c r="CH258">
        <f t="shared" si="476"/>
        <v>-50</v>
      </c>
    </row>
    <row r="259" spans="5:86" x14ac:dyDescent="0.25">
      <c r="E259" s="150">
        <v>43</v>
      </c>
      <c r="F259" s="191">
        <f t="shared" si="477"/>
        <v>4.3000000000000003E-2</v>
      </c>
      <c r="G259" s="191"/>
      <c r="H259" s="191">
        <f t="shared" si="443"/>
        <v>0.64500000000000002</v>
      </c>
      <c r="I259" s="472">
        <f t="shared" si="444"/>
        <v>26</v>
      </c>
      <c r="J259" s="386">
        <f t="shared" si="445"/>
        <v>15.32</v>
      </c>
      <c r="K259" s="386">
        <f t="shared" si="446"/>
        <v>41.32</v>
      </c>
      <c r="L259" s="386"/>
      <c r="M259" s="191">
        <f t="shared" si="447"/>
        <v>0.37076476282671827</v>
      </c>
      <c r="N259" s="152">
        <f t="shared" si="448"/>
        <v>3.3254522666886368</v>
      </c>
      <c r="O259" s="152">
        <f t="shared" si="363"/>
        <v>0.64500000000000002</v>
      </c>
      <c r="P259" s="191">
        <f t="shared" si="449"/>
        <v>0.22169681777924247</v>
      </c>
      <c r="Q259" s="191">
        <f t="shared" si="450"/>
        <v>15</v>
      </c>
      <c r="R259" s="191"/>
      <c r="S259" s="152">
        <f t="shared" si="451"/>
        <v>178.11639470091231</v>
      </c>
      <c r="T259" s="152">
        <f t="shared" si="452"/>
        <v>15</v>
      </c>
      <c r="U259" s="191">
        <f t="shared" si="453"/>
        <v>0.14868782218651669</v>
      </c>
      <c r="V259" s="191">
        <f t="shared" si="454"/>
        <v>0.26878183241408787</v>
      </c>
      <c r="W259" s="191">
        <f t="shared" si="455"/>
        <v>0.45615715683853031</v>
      </c>
      <c r="X259" s="175">
        <f t="shared" si="456"/>
        <v>350</v>
      </c>
      <c r="Y259" s="386">
        <f t="shared" si="418"/>
        <v>350</v>
      </c>
      <c r="AA259" s="191">
        <f t="shared" si="457"/>
        <v>0.58601117528843016</v>
      </c>
      <c r="AB259" s="153">
        <f t="shared" si="458"/>
        <v>1.7978149633522333</v>
      </c>
      <c r="AC259" s="153">
        <f t="shared" si="459"/>
        <v>0.18436944043440445</v>
      </c>
      <c r="AD259" s="153"/>
      <c r="AE259" s="153">
        <f t="shared" si="460"/>
        <v>0.46018276762402083</v>
      </c>
      <c r="AF259" s="317">
        <f t="shared" si="461"/>
        <v>1245.8817966903077</v>
      </c>
      <c r="AG259" s="463">
        <f t="shared" si="462"/>
        <v>1.2079797650130546E-2</v>
      </c>
      <c r="AI259" s="153">
        <f t="shared" si="463"/>
        <v>0.28300600915140561</v>
      </c>
      <c r="AJ259" s="153">
        <f t="shared" si="464"/>
        <v>0.28300600915140561</v>
      </c>
      <c r="AK259" s="153">
        <f t="shared" si="465"/>
        <v>1.2886706727676036</v>
      </c>
      <c r="AM259" s="317">
        <f t="shared" si="466"/>
        <v>43</v>
      </c>
      <c r="AN259" s="147">
        <f t="shared" si="467"/>
        <v>350</v>
      </c>
      <c r="AP259">
        <f t="shared" si="468"/>
        <v>43</v>
      </c>
      <c r="AQ259">
        <f t="shared" si="469"/>
        <v>350</v>
      </c>
      <c r="AS259" s="5">
        <f t="shared" si="364"/>
        <v>2.8571428571428572</v>
      </c>
      <c r="AT259" s="5">
        <f t="shared" si="470"/>
        <v>0.51158778577369479</v>
      </c>
      <c r="AU259" s="5">
        <f t="shared" si="440"/>
        <v>2.3455550713691622</v>
      </c>
      <c r="AV259" s="5"/>
      <c r="AW259" s="153">
        <f t="shared" si="441"/>
        <v>0.17905572502079317</v>
      </c>
      <c r="AX259" s="153"/>
      <c r="BA259" s="147">
        <f t="shared" si="471"/>
        <v>2.7597754264171033</v>
      </c>
      <c r="BB259" s="147">
        <f t="shared" si="472"/>
        <v>1.5037170143431955</v>
      </c>
      <c r="BC259" s="5">
        <f t="shared" si="442"/>
        <v>8.6204160742627323E-2</v>
      </c>
      <c r="BD259" s="147">
        <f t="shared" si="473"/>
        <v>0</v>
      </c>
      <c r="BQ259" s="463">
        <f t="shared" si="474"/>
        <v>1.6426000000000003E-2</v>
      </c>
      <c r="CG259" s="59">
        <f t="shared" si="475"/>
        <v>-50</v>
      </c>
      <c r="CH259">
        <f t="shared" si="476"/>
        <v>-50</v>
      </c>
    </row>
    <row r="260" spans="5:86" x14ac:dyDescent="0.25">
      <c r="E260" s="150">
        <v>44</v>
      </c>
      <c r="F260" s="191">
        <f t="shared" si="477"/>
        <v>4.4000000000000004E-2</v>
      </c>
      <c r="G260" s="191"/>
      <c r="H260" s="191">
        <f t="shared" si="443"/>
        <v>0.66</v>
      </c>
      <c r="I260" s="472">
        <f t="shared" si="444"/>
        <v>26</v>
      </c>
      <c r="J260" s="386">
        <f t="shared" si="445"/>
        <v>15.32</v>
      </c>
      <c r="K260" s="386">
        <f t="shared" si="446"/>
        <v>41.32</v>
      </c>
      <c r="L260" s="386"/>
      <c r="M260" s="191">
        <f t="shared" si="447"/>
        <v>0.37076476282671827</v>
      </c>
      <c r="N260" s="152">
        <f t="shared" si="448"/>
        <v>3.3254522666886368</v>
      </c>
      <c r="O260" s="152">
        <f t="shared" si="363"/>
        <v>0.66</v>
      </c>
      <c r="P260" s="191">
        <f t="shared" si="449"/>
        <v>0.22169681777924247</v>
      </c>
      <c r="Q260" s="191">
        <f t="shared" si="450"/>
        <v>15</v>
      </c>
      <c r="R260" s="191"/>
      <c r="S260" s="152">
        <f t="shared" si="451"/>
        <v>173.47968938359941</v>
      </c>
      <c r="T260" s="152">
        <f t="shared" si="452"/>
        <v>15</v>
      </c>
      <c r="U260" s="191">
        <f t="shared" si="453"/>
        <v>0.15214567851643568</v>
      </c>
      <c r="V260" s="191">
        <f t="shared" si="454"/>
        <v>0.27503257270278758</v>
      </c>
      <c r="W260" s="191">
        <f t="shared" si="455"/>
        <v>0.46676546281151937</v>
      </c>
      <c r="X260" s="175">
        <f t="shared" si="456"/>
        <v>350</v>
      </c>
      <c r="Y260" s="386">
        <f t="shared" si="418"/>
        <v>350</v>
      </c>
      <c r="AA260" s="191">
        <f t="shared" si="457"/>
        <v>0.58601117528843016</v>
      </c>
      <c r="AB260" s="153">
        <f t="shared" si="458"/>
        <v>1.7978149633522333</v>
      </c>
      <c r="AC260" s="153">
        <f t="shared" si="459"/>
        <v>0.18436944043440445</v>
      </c>
      <c r="AD260" s="153"/>
      <c r="AE260" s="153">
        <f t="shared" si="460"/>
        <v>0.46018276762402083</v>
      </c>
      <c r="AF260" s="317">
        <f t="shared" si="461"/>
        <v>1274.8557919621753</v>
      </c>
      <c r="AG260" s="463">
        <f t="shared" si="462"/>
        <v>1.2079797650130546E-2</v>
      </c>
      <c r="AI260" s="153">
        <f t="shared" si="463"/>
        <v>0.28627786361779423</v>
      </c>
      <c r="AJ260" s="153">
        <f t="shared" si="464"/>
        <v>0.28627786361779423</v>
      </c>
      <c r="AK260" s="153">
        <f t="shared" si="465"/>
        <v>1.2908519090785295</v>
      </c>
      <c r="AM260" s="317">
        <f t="shared" si="466"/>
        <v>44.000000000000007</v>
      </c>
      <c r="AN260" s="147">
        <f t="shared" si="467"/>
        <v>350</v>
      </c>
      <c r="AP260">
        <f t="shared" si="468"/>
        <v>44.000000000000007</v>
      </c>
      <c r="AQ260">
        <f t="shared" si="469"/>
        <v>350</v>
      </c>
      <c r="AS260" s="5">
        <f t="shared" si="364"/>
        <v>2.8571428571428572</v>
      </c>
      <c r="AT260" s="5">
        <f t="shared" si="470"/>
        <v>0.51750229192447417</v>
      </c>
      <c r="AU260" s="5">
        <f t="shared" si="440"/>
        <v>2.3396405652183829</v>
      </c>
      <c r="AV260" s="5"/>
      <c r="AW260" s="153">
        <f t="shared" si="441"/>
        <v>0.18112580217356594</v>
      </c>
      <c r="AX260" s="153"/>
      <c r="BA260" s="147">
        <f t="shared" si="471"/>
        <v>2.7597754264171033</v>
      </c>
      <c r="BB260" s="147">
        <f t="shared" si="472"/>
        <v>1.5714008327573965</v>
      </c>
      <c r="BC260" s="5">
        <f t="shared" si="442"/>
        <v>8.7986482794537482E-2</v>
      </c>
      <c r="BD260" s="147">
        <f t="shared" si="473"/>
        <v>0</v>
      </c>
      <c r="BQ260" s="463">
        <f t="shared" si="474"/>
        <v>1.6808E-2</v>
      </c>
      <c r="CG260" s="59">
        <f t="shared" si="475"/>
        <v>-50</v>
      </c>
      <c r="CH260">
        <f t="shared" si="476"/>
        <v>-50</v>
      </c>
    </row>
    <row r="261" spans="5:86" x14ac:dyDescent="0.25">
      <c r="E261" s="150">
        <v>45</v>
      </c>
      <c r="F261" s="191">
        <f t="shared" si="477"/>
        <v>4.5000000000000005E-2</v>
      </c>
      <c r="G261" s="191"/>
      <c r="H261" s="191">
        <f t="shared" si="443"/>
        <v>0.67500000000000004</v>
      </c>
      <c r="I261" s="472">
        <f t="shared" si="444"/>
        <v>26</v>
      </c>
      <c r="J261" s="386">
        <f t="shared" si="445"/>
        <v>15.32</v>
      </c>
      <c r="K261" s="386">
        <f t="shared" si="446"/>
        <v>41.32</v>
      </c>
      <c r="L261" s="386"/>
      <c r="M261" s="191">
        <f t="shared" si="447"/>
        <v>0.37076476282671827</v>
      </c>
      <c r="N261" s="152">
        <f t="shared" si="448"/>
        <v>3.3254522666886368</v>
      </c>
      <c r="O261" s="152">
        <f t="shared" si="363"/>
        <v>0.67500000000000004</v>
      </c>
      <c r="P261" s="191">
        <f t="shared" si="449"/>
        <v>0.22169681777924247</v>
      </c>
      <c r="Q261" s="191">
        <f t="shared" si="450"/>
        <v>15</v>
      </c>
      <c r="R261" s="191"/>
      <c r="S261" s="152">
        <f t="shared" si="451"/>
        <v>169.04912347557374</v>
      </c>
      <c r="T261" s="152">
        <f t="shared" si="452"/>
        <v>15</v>
      </c>
      <c r="U261" s="191">
        <f t="shared" si="453"/>
        <v>0.1556035348463547</v>
      </c>
      <c r="V261" s="191">
        <f t="shared" si="454"/>
        <v>0.28128331299148729</v>
      </c>
      <c r="W261" s="191">
        <f t="shared" si="455"/>
        <v>0.47737376878450849</v>
      </c>
      <c r="X261" s="175">
        <f t="shared" si="456"/>
        <v>350</v>
      </c>
      <c r="Y261" s="386">
        <f t="shared" si="418"/>
        <v>350</v>
      </c>
      <c r="AA261" s="191">
        <f t="shared" si="457"/>
        <v>0.58601117528843016</v>
      </c>
      <c r="AB261" s="153">
        <f t="shared" si="458"/>
        <v>1.7978149633522333</v>
      </c>
      <c r="AC261" s="153">
        <f t="shared" si="459"/>
        <v>0.18436944043440445</v>
      </c>
      <c r="AD261" s="153"/>
      <c r="AE261" s="153">
        <f t="shared" si="460"/>
        <v>0.46018276762402083</v>
      </c>
      <c r="AF261" s="317">
        <f t="shared" si="461"/>
        <v>1303.8297872340429</v>
      </c>
      <c r="AG261" s="463">
        <f t="shared" si="462"/>
        <v>1.2079797650130546E-2</v>
      </c>
      <c r="AI261" s="153">
        <f t="shared" si="463"/>
        <v>0.28951274441608149</v>
      </c>
      <c r="AJ261" s="153">
        <f t="shared" si="464"/>
        <v>0.28951274441608149</v>
      </c>
      <c r="AK261" s="153">
        <f t="shared" si="465"/>
        <v>1.2930084962773876</v>
      </c>
      <c r="AM261" s="317">
        <f t="shared" si="466"/>
        <v>45.000000000000007</v>
      </c>
      <c r="AN261" s="147">
        <f t="shared" si="467"/>
        <v>350</v>
      </c>
      <c r="AP261">
        <f t="shared" si="468"/>
        <v>45.000000000000007</v>
      </c>
      <c r="AQ261">
        <f t="shared" si="469"/>
        <v>350</v>
      </c>
      <c r="AS261" s="5">
        <f t="shared" si="364"/>
        <v>2.8571428571428572</v>
      </c>
      <c r="AT261" s="5">
        <f t="shared" si="470"/>
        <v>0.52334996105983955</v>
      </c>
      <c r="AU261" s="5">
        <f t="shared" si="440"/>
        <v>2.3337928960830174</v>
      </c>
      <c r="AV261" s="5"/>
      <c r="AW261" s="153">
        <f t="shared" si="441"/>
        <v>0.18317248637094383</v>
      </c>
      <c r="AX261" s="153"/>
      <c r="BA261" s="147">
        <f t="shared" si="471"/>
        <v>2.7597754264171033</v>
      </c>
      <c r="BB261" s="147">
        <f t="shared" si="472"/>
        <v>1.6405716355029587</v>
      </c>
      <c r="BC261" s="5">
        <f t="shared" si="442"/>
        <v>8.9761265233962217E-2</v>
      </c>
      <c r="BD261" s="147">
        <f t="shared" si="473"/>
        <v>0</v>
      </c>
      <c r="BQ261" s="463">
        <f t="shared" si="474"/>
        <v>1.719E-2</v>
      </c>
      <c r="CG261" s="59">
        <f t="shared" si="475"/>
        <v>-50</v>
      </c>
      <c r="CH261">
        <f t="shared" si="476"/>
        <v>-50</v>
      </c>
    </row>
    <row r="262" spans="5:86" x14ac:dyDescent="0.25">
      <c r="E262" s="150">
        <v>46</v>
      </c>
      <c r="F262" s="191">
        <f t="shared" si="477"/>
        <v>4.6000000000000006E-2</v>
      </c>
      <c r="G262" s="191"/>
      <c r="H262" s="191">
        <f t="shared" si="443"/>
        <v>0.69000000000000006</v>
      </c>
      <c r="I262" s="472">
        <f t="shared" si="444"/>
        <v>26</v>
      </c>
      <c r="J262" s="386">
        <f t="shared" si="445"/>
        <v>15.32</v>
      </c>
      <c r="K262" s="386">
        <f t="shared" si="446"/>
        <v>41.32</v>
      </c>
      <c r="L262" s="386"/>
      <c r="M262" s="191">
        <f t="shared" si="447"/>
        <v>0.37076476282671827</v>
      </c>
      <c r="N262" s="152">
        <f t="shared" si="448"/>
        <v>3.3254522666886368</v>
      </c>
      <c r="O262" s="152">
        <f t="shared" ref="O262:O316" si="478">T262*F262</f>
        <v>0.69000000000000006</v>
      </c>
      <c r="P262" s="191">
        <f t="shared" si="449"/>
        <v>0.22169681777924247</v>
      </c>
      <c r="Q262" s="191">
        <f t="shared" si="450"/>
        <v>15</v>
      </c>
      <c r="R262" s="191"/>
      <c r="S262" s="152">
        <f t="shared" si="451"/>
        <v>164.81125372819173</v>
      </c>
      <c r="T262" s="152">
        <f t="shared" si="452"/>
        <v>15</v>
      </c>
      <c r="U262" s="191">
        <f t="shared" si="453"/>
        <v>0.15906139117627369</v>
      </c>
      <c r="V262" s="191">
        <f t="shared" si="454"/>
        <v>0.28753405328018705</v>
      </c>
      <c r="W262" s="191">
        <f t="shared" si="455"/>
        <v>0.48798207475749755</v>
      </c>
      <c r="X262" s="175">
        <f t="shared" si="456"/>
        <v>350</v>
      </c>
      <c r="Y262" s="386">
        <f t="shared" si="418"/>
        <v>350</v>
      </c>
      <c r="AA262" s="191">
        <f t="shared" si="457"/>
        <v>0.58601117528843016</v>
      </c>
      <c r="AB262" s="153">
        <f t="shared" si="458"/>
        <v>1.7978149633522333</v>
      </c>
      <c r="AC262" s="153">
        <f t="shared" si="459"/>
        <v>0.18436944043440445</v>
      </c>
      <c r="AD262" s="153"/>
      <c r="AE262" s="153">
        <f t="shared" si="460"/>
        <v>0.46018276762402083</v>
      </c>
      <c r="AF262" s="317">
        <f t="shared" si="461"/>
        <v>1332.8037825059107</v>
      </c>
      <c r="AG262" s="463">
        <f t="shared" si="462"/>
        <v>1.2079797650130546E-2</v>
      </c>
      <c r="AI262" s="153">
        <f t="shared" si="463"/>
        <v>0.29271187738302357</v>
      </c>
      <c r="AJ262" s="153">
        <f t="shared" si="464"/>
        <v>0.29271187738302357</v>
      </c>
      <c r="AK262" s="153">
        <f t="shared" si="465"/>
        <v>1.2951412515886824</v>
      </c>
      <c r="AM262" s="317">
        <f t="shared" si="466"/>
        <v>46.000000000000007</v>
      </c>
      <c r="AN262" s="147">
        <f t="shared" si="467"/>
        <v>350</v>
      </c>
      <c r="AP262">
        <f t="shared" si="468"/>
        <v>46.000000000000007</v>
      </c>
      <c r="AQ262">
        <f t="shared" si="469"/>
        <v>350</v>
      </c>
      <c r="AS262" s="5">
        <f t="shared" si="364"/>
        <v>2.8571428571428572</v>
      </c>
      <c r="AT262" s="5">
        <f t="shared" si="470"/>
        <v>0.52913300911546568</v>
      </c>
      <c r="AU262" s="5">
        <f t="shared" si="440"/>
        <v>2.3280098480273916</v>
      </c>
      <c r="AV262" s="5"/>
      <c r="AW262" s="153">
        <f t="shared" si="441"/>
        <v>0.18519655319041298</v>
      </c>
      <c r="AX262" s="153"/>
      <c r="BA262" s="147">
        <f t="shared" si="471"/>
        <v>2.7597754264171033</v>
      </c>
      <c r="BB262" s="147">
        <f t="shared" si="472"/>
        <v>1.7112294225798821</v>
      </c>
      <c r="BC262" s="5">
        <f t="shared" si="442"/>
        <v>9.1528592315606852E-2</v>
      </c>
      <c r="BD262" s="147">
        <f t="shared" si="473"/>
        <v>0</v>
      </c>
      <c r="BQ262" s="463">
        <f t="shared" si="474"/>
        <v>1.7572000000000001E-2</v>
      </c>
      <c r="CG262" s="59">
        <f t="shared" si="475"/>
        <v>-50</v>
      </c>
      <c r="CH262">
        <f t="shared" si="476"/>
        <v>-50</v>
      </c>
    </row>
    <row r="263" spans="5:86" x14ac:dyDescent="0.25">
      <c r="E263" s="150">
        <v>47</v>
      </c>
      <c r="F263" s="191">
        <f t="shared" si="477"/>
        <v>4.7E-2</v>
      </c>
      <c r="G263" s="191"/>
      <c r="H263" s="191">
        <f t="shared" si="443"/>
        <v>0.70499999999999996</v>
      </c>
      <c r="I263" s="472">
        <f t="shared" si="444"/>
        <v>26</v>
      </c>
      <c r="J263" s="386">
        <f t="shared" si="445"/>
        <v>15.32</v>
      </c>
      <c r="K263" s="386">
        <f t="shared" si="446"/>
        <v>41.32</v>
      </c>
      <c r="L263" s="386"/>
      <c r="M263" s="191">
        <f t="shared" si="447"/>
        <v>0.37076476282671827</v>
      </c>
      <c r="N263" s="152">
        <f t="shared" si="448"/>
        <v>3.3254522666886368</v>
      </c>
      <c r="O263" s="152">
        <f t="shared" si="478"/>
        <v>0.70499999999999996</v>
      </c>
      <c r="P263" s="191">
        <f t="shared" si="449"/>
        <v>0.22169681777924247</v>
      </c>
      <c r="Q263" s="191">
        <f t="shared" si="450"/>
        <v>15</v>
      </c>
      <c r="R263" s="191"/>
      <c r="S263" s="152">
        <f t="shared" si="451"/>
        <v>160.75378100717691</v>
      </c>
      <c r="T263" s="152">
        <f t="shared" si="452"/>
        <v>15</v>
      </c>
      <c r="U263" s="191">
        <f t="shared" si="453"/>
        <v>0.16251924750619265</v>
      </c>
      <c r="V263" s="191">
        <f t="shared" si="454"/>
        <v>0.2937847935688867</v>
      </c>
      <c r="W263" s="191">
        <f t="shared" si="455"/>
        <v>0.4985903807304865</v>
      </c>
      <c r="X263" s="175">
        <f t="shared" si="456"/>
        <v>350</v>
      </c>
      <c r="Y263" s="386">
        <f t="shared" si="418"/>
        <v>350</v>
      </c>
      <c r="AA263" s="191">
        <f t="shared" si="457"/>
        <v>0.58601117528843016</v>
      </c>
      <c r="AB263" s="153">
        <f t="shared" si="458"/>
        <v>1.7978149633522333</v>
      </c>
      <c r="AC263" s="153">
        <f t="shared" si="459"/>
        <v>0.18436944043440445</v>
      </c>
      <c r="AD263" s="153"/>
      <c r="AE263" s="153">
        <f t="shared" si="460"/>
        <v>0.46018276762402083</v>
      </c>
      <c r="AF263" s="317">
        <f t="shared" si="461"/>
        <v>1361.7777777777781</v>
      </c>
      <c r="AG263" s="463">
        <f t="shared" si="462"/>
        <v>1.2079797650130546E-2</v>
      </c>
      <c r="AI263" s="153">
        <f t="shared" si="463"/>
        <v>0.29587642207999126</v>
      </c>
      <c r="AJ263" s="153">
        <f t="shared" si="464"/>
        <v>0.29587642207999126</v>
      </c>
      <c r="AK263" s="153">
        <f t="shared" si="465"/>
        <v>1.2972509480533274</v>
      </c>
      <c r="AM263" s="317">
        <f t="shared" si="466"/>
        <v>47</v>
      </c>
      <c r="AN263" s="147">
        <f t="shared" si="467"/>
        <v>350</v>
      </c>
      <c r="AP263">
        <f t="shared" si="468"/>
        <v>47</v>
      </c>
      <c r="AQ263">
        <f t="shared" si="469"/>
        <v>350</v>
      </c>
      <c r="AS263" s="5">
        <f t="shared" ref="AS263:AS316" si="479">1/AN263*1000</f>
        <v>2.8571428571428572</v>
      </c>
      <c r="AT263" s="5">
        <f t="shared" si="470"/>
        <v>0.53485353222152265</v>
      </c>
      <c r="AU263" s="5">
        <f t="shared" si="440"/>
        <v>2.3222893249213348</v>
      </c>
      <c r="AV263" s="5"/>
      <c r="AW263" s="153">
        <f t="shared" si="441"/>
        <v>0.18719873627753292</v>
      </c>
      <c r="AX263" s="153"/>
      <c r="BA263" s="147">
        <f t="shared" si="471"/>
        <v>2.7597754264171033</v>
      </c>
      <c r="BB263" s="147">
        <f t="shared" si="472"/>
        <v>1.7833741939881653</v>
      </c>
      <c r="BC263" s="5">
        <f t="shared" si="442"/>
        <v>9.3288545531027958E-2</v>
      </c>
      <c r="BD263" s="147">
        <f t="shared" si="473"/>
        <v>0</v>
      </c>
      <c r="BQ263" s="463">
        <f t="shared" si="474"/>
        <v>1.7954000000000001E-2</v>
      </c>
      <c r="CG263" s="59">
        <f t="shared" si="475"/>
        <v>-50</v>
      </c>
      <c r="CH263">
        <f t="shared" si="476"/>
        <v>-50</v>
      </c>
    </row>
    <row r="264" spans="5:86" x14ac:dyDescent="0.25">
      <c r="E264" s="150">
        <v>48</v>
      </c>
      <c r="F264" s="191">
        <f t="shared" si="477"/>
        <v>4.8000000000000001E-2</v>
      </c>
      <c r="G264" s="191"/>
      <c r="H264" s="191">
        <f t="shared" si="443"/>
        <v>0.72</v>
      </c>
      <c r="I264" s="472">
        <f t="shared" si="444"/>
        <v>26</v>
      </c>
      <c r="J264" s="386">
        <f t="shared" si="445"/>
        <v>15.32</v>
      </c>
      <c r="K264" s="386">
        <f t="shared" si="446"/>
        <v>41.32</v>
      </c>
      <c r="L264" s="386"/>
      <c r="M264" s="191">
        <f t="shared" si="447"/>
        <v>0.37076476282671827</v>
      </c>
      <c r="N264" s="152">
        <f t="shared" si="448"/>
        <v>3.3254522666886368</v>
      </c>
      <c r="O264" s="152">
        <f t="shared" si="478"/>
        <v>0.72</v>
      </c>
      <c r="P264" s="191">
        <f t="shared" si="449"/>
        <v>0.22169681777924247</v>
      </c>
      <c r="Q264" s="191">
        <f t="shared" si="450"/>
        <v>15</v>
      </c>
      <c r="R264" s="191"/>
      <c r="S264" s="152">
        <f t="shared" si="451"/>
        <v>156.86543111416898</v>
      </c>
      <c r="T264" s="152">
        <f t="shared" si="452"/>
        <v>15</v>
      </c>
      <c r="U264" s="191">
        <f t="shared" si="453"/>
        <v>0.16597710383611164</v>
      </c>
      <c r="V264" s="191">
        <f t="shared" si="454"/>
        <v>0.30003553385758641</v>
      </c>
      <c r="W264" s="191">
        <f t="shared" si="455"/>
        <v>0.50919868670347557</v>
      </c>
      <c r="X264" s="175">
        <f t="shared" si="456"/>
        <v>350</v>
      </c>
      <c r="Y264" s="386">
        <f t="shared" si="418"/>
        <v>350</v>
      </c>
      <c r="AA264" s="191">
        <f t="shared" si="457"/>
        <v>0.58601117528843016</v>
      </c>
      <c r="AB264" s="153">
        <f t="shared" si="458"/>
        <v>1.7978149633522333</v>
      </c>
      <c r="AC264" s="153">
        <f t="shared" si="459"/>
        <v>0.18436944043440445</v>
      </c>
      <c r="AD264" s="153"/>
      <c r="AE264" s="153">
        <f t="shared" si="460"/>
        <v>0.46018276762402083</v>
      </c>
      <c r="AF264" s="317">
        <f t="shared" si="461"/>
        <v>1390.7517730496459</v>
      </c>
      <c r="AG264" s="463">
        <f t="shared" si="462"/>
        <v>1.2079797650130546E-2</v>
      </c>
      <c r="AI264" s="153">
        <f t="shared" si="463"/>
        <v>0.29900747670354338</v>
      </c>
      <c r="AJ264" s="153">
        <f t="shared" si="464"/>
        <v>0.29900747670354338</v>
      </c>
      <c r="AK264" s="153">
        <f t="shared" si="465"/>
        <v>1.2993383178023623</v>
      </c>
      <c r="AM264" s="317">
        <f t="shared" si="466"/>
        <v>48</v>
      </c>
      <c r="AN264" s="147">
        <f t="shared" si="467"/>
        <v>350</v>
      </c>
      <c r="AP264">
        <f t="shared" si="468"/>
        <v>48</v>
      </c>
      <c r="AQ264">
        <f t="shared" si="469"/>
        <v>350</v>
      </c>
      <c r="AS264" s="5">
        <f t="shared" si="479"/>
        <v>2.8571428571428572</v>
      </c>
      <c r="AT264" s="5">
        <f t="shared" si="470"/>
        <v>0.54051351557948235</v>
      </c>
      <c r="AU264" s="5">
        <f t="shared" si="440"/>
        <v>2.3166293415633747</v>
      </c>
      <c r="AV264" s="5"/>
      <c r="AW264" s="153">
        <f t="shared" si="441"/>
        <v>0.18917973045281883</v>
      </c>
      <c r="AX264" s="153"/>
      <c r="BA264" s="147">
        <f t="shared" si="471"/>
        <v>2.7597754264171033</v>
      </c>
      <c r="BB264" s="147">
        <f t="shared" si="472"/>
        <v>1.8570059497278106</v>
      </c>
      <c r="BC264" s="5">
        <f t="shared" si="442"/>
        <v>9.5041203756446146E-2</v>
      </c>
      <c r="BD264" s="147">
        <f t="shared" si="473"/>
        <v>0</v>
      </c>
      <c r="BQ264" s="463">
        <f t="shared" si="474"/>
        <v>1.8336000000000002E-2</v>
      </c>
      <c r="CG264" s="59">
        <f t="shared" si="475"/>
        <v>-50</v>
      </c>
      <c r="CH264">
        <f t="shared" si="476"/>
        <v>-50</v>
      </c>
    </row>
    <row r="265" spans="5:86" x14ac:dyDescent="0.25">
      <c r="E265" s="150">
        <v>49</v>
      </c>
      <c r="F265" s="191">
        <f t="shared" si="477"/>
        <v>4.9000000000000002E-2</v>
      </c>
      <c r="G265" s="191"/>
      <c r="H265" s="191">
        <f t="shared" si="443"/>
        <v>0.73499999999999999</v>
      </c>
      <c r="I265" s="472">
        <f t="shared" si="444"/>
        <v>26</v>
      </c>
      <c r="J265" s="386">
        <f t="shared" si="445"/>
        <v>15.32</v>
      </c>
      <c r="K265" s="386">
        <f t="shared" si="446"/>
        <v>41.32</v>
      </c>
      <c r="L265" s="386"/>
      <c r="M265" s="191">
        <f t="shared" si="447"/>
        <v>0.37076476282671827</v>
      </c>
      <c r="N265" s="152">
        <f t="shared" si="448"/>
        <v>3.3254522666886368</v>
      </c>
      <c r="O265" s="152">
        <f t="shared" si="478"/>
        <v>0.73499999999999999</v>
      </c>
      <c r="P265" s="191">
        <f t="shared" si="449"/>
        <v>0.22169681777924247</v>
      </c>
      <c r="Q265" s="191">
        <f t="shared" si="450"/>
        <v>15</v>
      </c>
      <c r="R265" s="191"/>
      <c r="S265" s="152">
        <f t="shared" si="451"/>
        <v>153.13585020155526</v>
      </c>
      <c r="T265" s="152">
        <f t="shared" si="452"/>
        <v>15</v>
      </c>
      <c r="U265" s="191">
        <f t="shared" si="453"/>
        <v>0.16943496016603066</v>
      </c>
      <c r="V265" s="191">
        <f t="shared" si="454"/>
        <v>0.30628627414628612</v>
      </c>
      <c r="W265" s="191">
        <f t="shared" si="455"/>
        <v>0.51980699267646469</v>
      </c>
      <c r="X265" s="175">
        <f t="shared" si="456"/>
        <v>350</v>
      </c>
      <c r="Y265" s="386">
        <f t="shared" si="418"/>
        <v>350</v>
      </c>
      <c r="AA265" s="191">
        <f t="shared" si="457"/>
        <v>0.58601117528843016</v>
      </c>
      <c r="AB265" s="153">
        <f t="shared" si="458"/>
        <v>1.7978149633522333</v>
      </c>
      <c r="AC265" s="153">
        <f t="shared" si="459"/>
        <v>0.18436944043440445</v>
      </c>
      <c r="AD265" s="153"/>
      <c r="AE265" s="153">
        <f t="shared" si="460"/>
        <v>0.46018276762402083</v>
      </c>
      <c r="AF265" s="317">
        <f t="shared" si="461"/>
        <v>1419.7257683215134</v>
      </c>
      <c r="AG265" s="463">
        <f t="shared" si="462"/>
        <v>1.2079797650130546E-2</v>
      </c>
      <c r="AI265" s="153">
        <f t="shared" si="463"/>
        <v>0.30210608253787768</v>
      </c>
      <c r="AJ265" s="153">
        <f t="shared" si="464"/>
        <v>0.30210608253787768</v>
      </c>
      <c r="AK265" s="153">
        <f t="shared" si="465"/>
        <v>1.3014040550252517</v>
      </c>
      <c r="AM265" s="317">
        <f t="shared" si="466"/>
        <v>49</v>
      </c>
      <c r="AN265" s="147">
        <f t="shared" si="467"/>
        <v>350</v>
      </c>
      <c r="AP265">
        <f t="shared" si="468"/>
        <v>49</v>
      </c>
      <c r="AQ265">
        <f t="shared" si="469"/>
        <v>350</v>
      </c>
      <c r="AS265" s="5">
        <f t="shared" si="479"/>
        <v>2.8571428571428572</v>
      </c>
      <c r="AT265" s="5">
        <f t="shared" si="470"/>
        <v>0.54611484151077883</v>
      </c>
      <c r="AU265" s="5">
        <f t="shared" si="440"/>
        <v>2.3110280156320782</v>
      </c>
      <c r="AV265" s="5"/>
      <c r="AW265" s="153">
        <f t="shared" si="441"/>
        <v>0.19114019452877259</v>
      </c>
      <c r="AX265" s="153"/>
      <c r="BA265" s="147">
        <f t="shared" si="471"/>
        <v>2.7597754264171033</v>
      </c>
      <c r="BB265" s="147">
        <f t="shared" si="472"/>
        <v>1.9321246897988167</v>
      </c>
      <c r="BC265" s="5">
        <f t="shared" si="442"/>
        <v>9.6786643389719498E-2</v>
      </c>
      <c r="BD265" s="147">
        <f t="shared" si="473"/>
        <v>0</v>
      </c>
      <c r="BQ265" s="463">
        <f t="shared" si="474"/>
        <v>1.8718000000000002E-2</v>
      </c>
      <c r="CG265" s="59">
        <f t="shared" si="475"/>
        <v>-50</v>
      </c>
      <c r="CH265">
        <f t="shared" si="476"/>
        <v>-50</v>
      </c>
    </row>
    <row r="266" spans="5:86" x14ac:dyDescent="0.25">
      <c r="E266" s="150">
        <v>50</v>
      </c>
      <c r="F266" s="191">
        <f t="shared" si="477"/>
        <v>0.05</v>
      </c>
      <c r="G266" s="191"/>
      <c r="H266" s="191">
        <f t="shared" si="443"/>
        <v>0.75</v>
      </c>
      <c r="I266" s="472">
        <f t="shared" si="444"/>
        <v>26</v>
      </c>
      <c r="J266" s="386">
        <f t="shared" si="445"/>
        <v>15.32</v>
      </c>
      <c r="K266" s="386">
        <f t="shared" si="446"/>
        <v>41.32</v>
      </c>
      <c r="L266" s="386"/>
      <c r="M266" s="191">
        <f t="shared" si="447"/>
        <v>0.37076476282671827</v>
      </c>
      <c r="N266" s="152">
        <f t="shared" si="448"/>
        <v>3.3254522666886368</v>
      </c>
      <c r="O266" s="152">
        <f t="shared" si="478"/>
        <v>0.75</v>
      </c>
      <c r="P266" s="191">
        <f t="shared" si="449"/>
        <v>0.22169681777924247</v>
      </c>
      <c r="Q266" s="191">
        <f t="shared" si="450"/>
        <v>15</v>
      </c>
      <c r="R266" s="191"/>
      <c r="S266" s="152">
        <f t="shared" si="451"/>
        <v>149.55551273752482</v>
      </c>
      <c r="T266" s="152">
        <f t="shared" si="452"/>
        <v>15</v>
      </c>
      <c r="U266" s="191">
        <f t="shared" si="453"/>
        <v>0.17289281649594965</v>
      </c>
      <c r="V266" s="191">
        <f t="shared" si="454"/>
        <v>0.31253701443498588</v>
      </c>
      <c r="W266" s="191">
        <f t="shared" si="455"/>
        <v>0.5304152986494538</v>
      </c>
      <c r="X266" s="175">
        <f t="shared" si="456"/>
        <v>350</v>
      </c>
      <c r="Y266" s="386">
        <f t="shared" si="418"/>
        <v>350</v>
      </c>
      <c r="AA266" s="191">
        <f t="shared" si="457"/>
        <v>0.58601117528843016</v>
      </c>
      <c r="AB266" s="153">
        <f t="shared" si="458"/>
        <v>1.7978149633522333</v>
      </c>
      <c r="AC266" s="153">
        <f t="shared" si="459"/>
        <v>0.18436944043440445</v>
      </c>
      <c r="AD266" s="153"/>
      <c r="AE266" s="153">
        <f t="shared" si="460"/>
        <v>0.46018276762402083</v>
      </c>
      <c r="AF266" s="317">
        <f t="shared" si="461"/>
        <v>1448.699763593381</v>
      </c>
      <c r="AG266" s="463">
        <f t="shared" si="462"/>
        <v>1.2079797650130546E-2</v>
      </c>
      <c r="AI266" s="153">
        <f t="shared" si="463"/>
        <v>0.30517322800033736</v>
      </c>
      <c r="AJ266" s="153">
        <f t="shared" si="464"/>
        <v>0.30517322800033736</v>
      </c>
      <c r="AK266" s="153">
        <f t="shared" si="465"/>
        <v>1.3034488186668916</v>
      </c>
      <c r="AM266" s="317">
        <f t="shared" si="466"/>
        <v>50</v>
      </c>
      <c r="AN266" s="147">
        <f t="shared" si="467"/>
        <v>350</v>
      </c>
      <c r="AP266">
        <f t="shared" si="468"/>
        <v>50</v>
      </c>
      <c r="AQ266">
        <f t="shared" si="469"/>
        <v>350</v>
      </c>
      <c r="AS266" s="5">
        <f t="shared" si="479"/>
        <v>2.8571428571428572</v>
      </c>
      <c r="AT266" s="5">
        <f t="shared" si="470"/>
        <v>0.5516592967698406</v>
      </c>
      <c r="AU266" s="5">
        <f t="shared" si="440"/>
        <v>2.3054835603730166</v>
      </c>
      <c r="AV266" s="5"/>
      <c r="AW266" s="153">
        <f t="shared" si="441"/>
        <v>0.1930807538694442</v>
      </c>
      <c r="AX266" s="153"/>
      <c r="BA266" s="147">
        <f t="shared" si="471"/>
        <v>2.7597754264171033</v>
      </c>
      <c r="BB266" s="147">
        <f t="shared" si="472"/>
        <v>2.0087304142011835</v>
      </c>
      <c r="BC266" s="5">
        <f t="shared" si="442"/>
        <v>9.852493847747934E-2</v>
      </c>
      <c r="BD266" s="147">
        <f t="shared" si="473"/>
        <v>0</v>
      </c>
      <c r="BQ266" s="463">
        <f t="shared" si="474"/>
        <v>1.9100000000000002E-2</v>
      </c>
      <c r="CG266" s="59">
        <f t="shared" si="475"/>
        <v>-50</v>
      </c>
      <c r="CH266">
        <f t="shared" si="476"/>
        <v>-50</v>
      </c>
    </row>
    <row r="267" spans="5:86" x14ac:dyDescent="0.25">
      <c r="E267" s="150">
        <v>51</v>
      </c>
      <c r="F267" s="191">
        <f t="shared" si="477"/>
        <v>5.1000000000000004E-2</v>
      </c>
      <c r="G267" s="191"/>
      <c r="H267" s="191">
        <f t="shared" si="443"/>
        <v>0.76500000000000001</v>
      </c>
      <c r="I267" s="472">
        <f t="shared" si="444"/>
        <v>26</v>
      </c>
      <c r="J267" s="386">
        <f t="shared" si="445"/>
        <v>15.32</v>
      </c>
      <c r="K267" s="386">
        <f t="shared" si="446"/>
        <v>41.32</v>
      </c>
      <c r="L267" s="386"/>
      <c r="M267" s="191">
        <f t="shared" si="447"/>
        <v>0.37076476282671827</v>
      </c>
      <c r="N267" s="152">
        <f t="shared" si="448"/>
        <v>3.3254522666886368</v>
      </c>
      <c r="O267" s="152">
        <f t="shared" si="478"/>
        <v>0.76500000000000001</v>
      </c>
      <c r="P267" s="191">
        <f t="shared" si="449"/>
        <v>0.22169681777924247</v>
      </c>
      <c r="Q267" s="191">
        <f t="shared" si="450"/>
        <v>15</v>
      </c>
      <c r="R267" s="191"/>
      <c r="S267" s="152">
        <f t="shared" si="451"/>
        <v>146.11564029876533</v>
      </c>
      <c r="T267" s="152">
        <f t="shared" si="452"/>
        <v>15</v>
      </c>
      <c r="U267" s="191">
        <f t="shared" si="453"/>
        <v>0.17635067282586864</v>
      </c>
      <c r="V267" s="191">
        <f t="shared" si="454"/>
        <v>0.31878775472368559</v>
      </c>
      <c r="W267" s="191">
        <f t="shared" si="455"/>
        <v>0.54102360462244281</v>
      </c>
      <c r="X267" s="175">
        <f t="shared" si="456"/>
        <v>350</v>
      </c>
      <c r="Y267" s="386">
        <f t="shared" si="418"/>
        <v>350</v>
      </c>
      <c r="AA267" s="191">
        <f t="shared" si="457"/>
        <v>0.58601117528843016</v>
      </c>
      <c r="AB267" s="153">
        <f t="shared" si="458"/>
        <v>1.7978149633522333</v>
      </c>
      <c r="AC267" s="153">
        <f t="shared" si="459"/>
        <v>0.18436944043440445</v>
      </c>
      <c r="AD267" s="153"/>
      <c r="AE267" s="153">
        <f t="shared" si="460"/>
        <v>0.46018276762402083</v>
      </c>
      <c r="AF267" s="317">
        <f t="shared" si="461"/>
        <v>1477.6737588652486</v>
      </c>
      <c r="AG267" s="463">
        <f t="shared" si="462"/>
        <v>1.2079797650130546E-2</v>
      </c>
      <c r="AI267" s="153">
        <f t="shared" si="463"/>
        <v>0.30820985232453035</v>
      </c>
      <c r="AJ267" s="153">
        <f t="shared" si="464"/>
        <v>0.30820985232453035</v>
      </c>
      <c r="AK267" s="153">
        <f t="shared" si="465"/>
        <v>1.3054732348830203</v>
      </c>
      <c r="AM267" s="317">
        <f t="shared" si="466"/>
        <v>51.000000000000007</v>
      </c>
      <c r="AN267" s="147">
        <f t="shared" si="467"/>
        <v>350</v>
      </c>
      <c r="AP267">
        <f t="shared" si="468"/>
        <v>51.000000000000007</v>
      </c>
      <c r="AQ267">
        <f t="shared" si="469"/>
        <v>350</v>
      </c>
      <c r="AS267" s="5">
        <f t="shared" si="479"/>
        <v>2.8571428571428572</v>
      </c>
      <c r="AT267" s="5">
        <f t="shared" si="470"/>
        <v>0.55714857920203564</v>
      </c>
      <c r="AU267" s="5">
        <f t="shared" si="440"/>
        <v>2.2999942779408213</v>
      </c>
      <c r="AV267" s="5"/>
      <c r="AW267" s="153">
        <f t="shared" si="441"/>
        <v>0.19500200272071247</v>
      </c>
      <c r="AX267" s="153"/>
      <c r="BA267" s="147">
        <f t="shared" si="471"/>
        <v>2.7597754264171033</v>
      </c>
      <c r="BB267" s="147">
        <f t="shared" si="472"/>
        <v>2.0868231229349119</v>
      </c>
      <c r="BC267" s="5">
        <f t="shared" si="442"/>
        <v>0.10025616083331786</v>
      </c>
      <c r="BD267" s="147">
        <f t="shared" si="473"/>
        <v>0</v>
      </c>
      <c r="BQ267" s="463">
        <f t="shared" si="474"/>
        <v>1.9481999999999999E-2</v>
      </c>
      <c r="CG267" s="59">
        <f t="shared" si="475"/>
        <v>-50</v>
      </c>
      <c r="CH267">
        <f t="shared" si="476"/>
        <v>-50</v>
      </c>
    </row>
    <row r="268" spans="5:86" x14ac:dyDescent="0.25">
      <c r="E268" s="150">
        <v>52</v>
      </c>
      <c r="F268" s="191">
        <f t="shared" si="477"/>
        <v>5.2000000000000005E-2</v>
      </c>
      <c r="G268" s="191"/>
      <c r="H268" s="191">
        <f t="shared" si="443"/>
        <v>0.78</v>
      </c>
      <c r="I268" s="472">
        <f t="shared" si="444"/>
        <v>26</v>
      </c>
      <c r="J268" s="386">
        <f t="shared" si="445"/>
        <v>15.32</v>
      </c>
      <c r="K268" s="386">
        <f t="shared" si="446"/>
        <v>41.32</v>
      </c>
      <c r="L268" s="386"/>
      <c r="M268" s="191">
        <f t="shared" si="447"/>
        <v>0.37076476282671827</v>
      </c>
      <c r="N268" s="152">
        <f t="shared" si="448"/>
        <v>3.3254522666886368</v>
      </c>
      <c r="O268" s="152">
        <f t="shared" si="478"/>
        <v>0.78</v>
      </c>
      <c r="P268" s="191">
        <f t="shared" si="449"/>
        <v>0.22169681777924247</v>
      </c>
      <c r="Q268" s="191">
        <f t="shared" si="450"/>
        <v>15</v>
      </c>
      <c r="R268" s="191"/>
      <c r="S268" s="152">
        <f t="shared" si="451"/>
        <v>142.80812973323629</v>
      </c>
      <c r="T268" s="152">
        <f t="shared" si="452"/>
        <v>15</v>
      </c>
      <c r="U268" s="191">
        <f t="shared" si="453"/>
        <v>0.17980852915578763</v>
      </c>
      <c r="V268" s="191">
        <f t="shared" si="454"/>
        <v>0.32503849501238524</v>
      </c>
      <c r="W268" s="191">
        <f t="shared" si="455"/>
        <v>0.55163191059543193</v>
      </c>
      <c r="X268" s="175">
        <f t="shared" si="456"/>
        <v>350</v>
      </c>
      <c r="Y268" s="386">
        <f t="shared" si="418"/>
        <v>350</v>
      </c>
      <c r="AA268" s="191">
        <f t="shared" si="457"/>
        <v>0.58601117528843016</v>
      </c>
      <c r="AB268" s="153">
        <f t="shared" si="458"/>
        <v>1.7978149633522333</v>
      </c>
      <c r="AC268" s="153">
        <f t="shared" si="459"/>
        <v>0.18436944043440445</v>
      </c>
      <c r="AD268" s="153"/>
      <c r="AE268" s="153">
        <f t="shared" si="460"/>
        <v>0.46018276762402083</v>
      </c>
      <c r="AF268" s="317">
        <f t="shared" si="461"/>
        <v>1506.6477541371162</v>
      </c>
      <c r="AG268" s="463">
        <f t="shared" si="462"/>
        <v>1.2079797650130546E-2</v>
      </c>
      <c r="AI268" s="153">
        <f t="shared" si="463"/>
        <v>0.31121684891996404</v>
      </c>
      <c r="AJ268" s="153">
        <f t="shared" si="464"/>
        <v>0.31121684891996404</v>
      </c>
      <c r="AK268" s="153">
        <f t="shared" si="465"/>
        <v>1.307477899279976</v>
      </c>
      <c r="AM268" s="317">
        <f t="shared" si="466"/>
        <v>52.000000000000007</v>
      </c>
      <c r="AN268" s="147">
        <f t="shared" si="467"/>
        <v>350</v>
      </c>
      <c r="AP268">
        <f t="shared" si="468"/>
        <v>52.000000000000007</v>
      </c>
      <c r="AQ268">
        <f t="shared" si="469"/>
        <v>350</v>
      </c>
      <c r="AS268" s="5">
        <f t="shared" si="479"/>
        <v>2.8571428571428572</v>
      </c>
      <c r="AT268" s="5">
        <f t="shared" si="470"/>
        <v>0.56258430381685798</v>
      </c>
      <c r="AU268" s="5">
        <f t="shared" si="440"/>
        <v>2.2945585533259991</v>
      </c>
      <c r="AV268" s="5"/>
      <c r="AW268" s="153">
        <f t="shared" si="441"/>
        <v>0.19690450633590029</v>
      </c>
      <c r="AX268" s="153"/>
      <c r="BA268" s="147">
        <f t="shared" si="471"/>
        <v>2.7597754264171033</v>
      </c>
      <c r="BB268" s="147">
        <f t="shared" si="472"/>
        <v>2.1664028160000006</v>
      </c>
      <c r="BC268" s="5">
        <f t="shared" si="442"/>
        <v>0.10198038014782218</v>
      </c>
      <c r="BD268" s="147">
        <f t="shared" si="473"/>
        <v>0</v>
      </c>
      <c r="BQ268" s="463">
        <f t="shared" si="474"/>
        <v>1.9864000000000003E-2</v>
      </c>
      <c r="CG268" s="59">
        <f t="shared" si="475"/>
        <v>-50</v>
      </c>
      <c r="CH268">
        <f t="shared" si="476"/>
        <v>-50</v>
      </c>
    </row>
    <row r="269" spans="5:86" x14ac:dyDescent="0.25">
      <c r="E269" s="150">
        <v>53</v>
      </c>
      <c r="F269" s="191">
        <f t="shared" si="477"/>
        <v>5.3000000000000005E-2</v>
      </c>
      <c r="G269" s="191"/>
      <c r="H269" s="191">
        <f t="shared" si="443"/>
        <v>0.79500000000000004</v>
      </c>
      <c r="I269" s="472">
        <f t="shared" si="444"/>
        <v>26</v>
      </c>
      <c r="J269" s="386">
        <f t="shared" si="445"/>
        <v>15.32</v>
      </c>
      <c r="K269" s="386">
        <f t="shared" si="446"/>
        <v>41.32</v>
      </c>
      <c r="L269" s="386"/>
      <c r="M269" s="191">
        <f t="shared" si="447"/>
        <v>0.37076476282671827</v>
      </c>
      <c r="N269" s="152">
        <f t="shared" si="448"/>
        <v>3.3254522666886368</v>
      </c>
      <c r="O269" s="152">
        <f t="shared" si="478"/>
        <v>0.79500000000000004</v>
      </c>
      <c r="P269" s="191">
        <f t="shared" si="449"/>
        <v>0.22169681777924247</v>
      </c>
      <c r="Q269" s="191">
        <f t="shared" si="450"/>
        <v>15</v>
      </c>
      <c r="R269" s="191"/>
      <c r="S269" s="152">
        <f t="shared" si="451"/>
        <v>139.62548945546052</v>
      </c>
      <c r="T269" s="152">
        <f t="shared" si="452"/>
        <v>15</v>
      </c>
      <c r="U269" s="191">
        <f t="shared" si="453"/>
        <v>0.18326638548570662</v>
      </c>
      <c r="V269" s="191">
        <f t="shared" si="454"/>
        <v>0.33128923530108501</v>
      </c>
      <c r="W269" s="191">
        <f t="shared" si="455"/>
        <v>0.56224021656842105</v>
      </c>
      <c r="X269" s="175">
        <f t="shared" si="456"/>
        <v>350</v>
      </c>
      <c r="Y269" s="386">
        <f t="shared" si="418"/>
        <v>350</v>
      </c>
      <c r="AA269" s="191">
        <f t="shared" si="457"/>
        <v>0.58601117528843016</v>
      </c>
      <c r="AB269" s="153">
        <f t="shared" si="458"/>
        <v>1.7978149633522333</v>
      </c>
      <c r="AC269" s="153">
        <f t="shared" si="459"/>
        <v>0.18436944043440445</v>
      </c>
      <c r="AD269" s="153"/>
      <c r="AE269" s="153">
        <f t="shared" si="460"/>
        <v>0.46018276762402083</v>
      </c>
      <c r="AF269" s="317">
        <f t="shared" si="461"/>
        <v>1535.6217494089838</v>
      </c>
      <c r="AG269" s="463">
        <f t="shared" si="462"/>
        <v>1.2079797650130546E-2</v>
      </c>
      <c r="AI269" s="153">
        <f t="shared" si="463"/>
        <v>0.31419506844225714</v>
      </c>
      <c r="AJ269" s="153">
        <f t="shared" si="464"/>
        <v>0.31419506844225714</v>
      </c>
      <c r="AK269" s="153">
        <f t="shared" si="465"/>
        <v>1.3094633789615047</v>
      </c>
      <c r="AM269" s="317">
        <f t="shared" si="466"/>
        <v>53.000000000000007</v>
      </c>
      <c r="AN269" s="147">
        <f t="shared" si="467"/>
        <v>350</v>
      </c>
      <c r="AP269">
        <f t="shared" si="468"/>
        <v>53.000000000000007</v>
      </c>
      <c r="AQ269">
        <f t="shared" si="469"/>
        <v>350</v>
      </c>
      <c r="AS269" s="5">
        <f t="shared" si="479"/>
        <v>2.8571428571428572</v>
      </c>
      <c r="AT269" s="5">
        <f t="shared" si="470"/>
        <v>0.56796800833792638</v>
      </c>
      <c r="AU269" s="5">
        <f t="shared" si="440"/>
        <v>2.2891748488049308</v>
      </c>
      <c r="AV269" s="5"/>
      <c r="AW269" s="153">
        <f t="shared" si="441"/>
        <v>0.19878880291827422</v>
      </c>
      <c r="AX269" s="153"/>
      <c r="BA269" s="147">
        <f t="shared" si="471"/>
        <v>2.7597754264171033</v>
      </c>
      <c r="BB269" s="147">
        <f t="shared" si="472"/>
        <v>2.2474694933964496</v>
      </c>
      <c r="BC269" s="5">
        <f t="shared" si="442"/>
        <v>0.10369766409116353</v>
      </c>
      <c r="BD269" s="147">
        <f t="shared" si="473"/>
        <v>0</v>
      </c>
      <c r="BQ269" s="463">
        <f t="shared" si="474"/>
        <v>2.0246000000000004E-2</v>
      </c>
      <c r="CG269" s="59">
        <f t="shared" si="475"/>
        <v>-50</v>
      </c>
      <c r="CH269">
        <f t="shared" si="476"/>
        <v>-50</v>
      </c>
    </row>
    <row r="270" spans="5:86" x14ac:dyDescent="0.25">
      <c r="E270" s="150">
        <v>54</v>
      </c>
      <c r="F270" s="191">
        <f t="shared" si="477"/>
        <v>5.4000000000000006E-2</v>
      </c>
      <c r="G270" s="191"/>
      <c r="H270" s="191">
        <f t="shared" si="443"/>
        <v>0.81</v>
      </c>
      <c r="I270" s="472">
        <f t="shared" si="444"/>
        <v>26</v>
      </c>
      <c r="J270" s="386">
        <f t="shared" si="445"/>
        <v>15.32</v>
      </c>
      <c r="K270" s="386">
        <f t="shared" si="446"/>
        <v>41.32</v>
      </c>
      <c r="L270" s="386"/>
      <c r="M270" s="191">
        <f t="shared" si="447"/>
        <v>0.37076476282671827</v>
      </c>
      <c r="N270" s="152">
        <f t="shared" si="448"/>
        <v>3.3254522666886368</v>
      </c>
      <c r="O270" s="152">
        <f t="shared" si="478"/>
        <v>0.81</v>
      </c>
      <c r="P270" s="191">
        <f t="shared" si="449"/>
        <v>0.22169681777924247</v>
      </c>
      <c r="Q270" s="191">
        <f t="shared" si="450"/>
        <v>15</v>
      </c>
      <c r="R270" s="191"/>
      <c r="S270" s="152">
        <f t="shared" si="451"/>
        <v>136.5607828201197</v>
      </c>
      <c r="T270" s="152">
        <f t="shared" si="452"/>
        <v>15</v>
      </c>
      <c r="U270" s="191">
        <f t="shared" si="453"/>
        <v>0.18672424181562564</v>
      </c>
      <c r="V270" s="191">
        <f t="shared" si="454"/>
        <v>0.33753997558978477</v>
      </c>
      <c r="W270" s="191">
        <f t="shared" si="455"/>
        <v>0.57284852254141017</v>
      </c>
      <c r="X270" s="175">
        <f t="shared" si="456"/>
        <v>350</v>
      </c>
      <c r="Y270" s="386">
        <f t="shared" si="418"/>
        <v>350</v>
      </c>
      <c r="AA270" s="191">
        <f t="shared" si="457"/>
        <v>0.58601117528843016</v>
      </c>
      <c r="AB270" s="153">
        <f t="shared" si="458"/>
        <v>1.7978149633522333</v>
      </c>
      <c r="AC270" s="153">
        <f t="shared" si="459"/>
        <v>0.18436944043440445</v>
      </c>
      <c r="AD270" s="153"/>
      <c r="AE270" s="153">
        <f t="shared" si="460"/>
        <v>0.46018276762402083</v>
      </c>
      <c r="AF270" s="317">
        <f t="shared" si="461"/>
        <v>1564.5957446808518</v>
      </c>
      <c r="AG270" s="463">
        <f t="shared" si="462"/>
        <v>1.2079797650130546E-2</v>
      </c>
      <c r="AI270" s="153">
        <f t="shared" si="463"/>
        <v>0.3171453216038313</v>
      </c>
      <c r="AJ270" s="153">
        <f t="shared" si="464"/>
        <v>0.3171453216038313</v>
      </c>
      <c r="AK270" s="153">
        <f t="shared" si="465"/>
        <v>1.3114302144025543</v>
      </c>
      <c r="AM270" s="317">
        <f t="shared" si="466"/>
        <v>54.000000000000007</v>
      </c>
      <c r="AN270" s="147">
        <f t="shared" si="467"/>
        <v>350</v>
      </c>
      <c r="AP270">
        <f t="shared" si="468"/>
        <v>54.000000000000007</v>
      </c>
      <c r="AQ270">
        <f t="shared" si="469"/>
        <v>350</v>
      </c>
      <c r="AS270" s="5">
        <f t="shared" si="479"/>
        <v>2.8571428571428572</v>
      </c>
      <c r="AT270" s="5">
        <f t="shared" si="470"/>
        <v>0.57330115828384887</v>
      </c>
      <c r="AU270" s="5">
        <f t="shared" si="440"/>
        <v>2.2838416988590082</v>
      </c>
      <c r="AV270" s="5"/>
      <c r="AW270" s="153">
        <f t="shared" si="441"/>
        <v>0.20065540539934709</v>
      </c>
      <c r="AX270" s="153"/>
      <c r="BA270" s="147">
        <f t="shared" si="471"/>
        <v>2.7597754264171033</v>
      </c>
      <c r="BB270" s="147">
        <f t="shared" si="472"/>
        <v>2.3300231551242607</v>
      </c>
      <c r="BC270" s="5">
        <f t="shared" si="442"/>
        <v>0.1054080784088773</v>
      </c>
      <c r="BD270" s="147">
        <f t="shared" si="473"/>
        <v>0</v>
      </c>
      <c r="BQ270" s="463">
        <f t="shared" si="474"/>
        <v>2.0628000000000004E-2</v>
      </c>
      <c r="CG270" s="59">
        <f t="shared" si="475"/>
        <v>-50</v>
      </c>
      <c r="CH270">
        <f t="shared" si="476"/>
        <v>-50</v>
      </c>
    </row>
    <row r="271" spans="5:86" x14ac:dyDescent="0.25">
      <c r="E271" s="150">
        <v>55</v>
      </c>
      <c r="F271" s="191">
        <f t="shared" si="477"/>
        <v>5.5000000000000007E-2</v>
      </c>
      <c r="G271" s="191"/>
      <c r="H271" s="191">
        <f t="shared" si="443"/>
        <v>0.82500000000000007</v>
      </c>
      <c r="I271" s="472">
        <f t="shared" si="444"/>
        <v>26</v>
      </c>
      <c r="J271" s="386">
        <f t="shared" si="445"/>
        <v>15.32</v>
      </c>
      <c r="K271" s="386">
        <f t="shared" si="446"/>
        <v>41.32</v>
      </c>
      <c r="L271" s="386"/>
      <c r="M271" s="191">
        <f t="shared" si="447"/>
        <v>0.37076476282671827</v>
      </c>
      <c r="N271" s="152">
        <f t="shared" si="448"/>
        <v>3.3254522666886368</v>
      </c>
      <c r="O271" s="152">
        <f t="shared" si="478"/>
        <v>0.82500000000000007</v>
      </c>
      <c r="P271" s="191">
        <f t="shared" si="449"/>
        <v>0.22169681777924247</v>
      </c>
      <c r="Q271" s="191">
        <f t="shared" si="450"/>
        <v>15</v>
      </c>
      <c r="R271" s="191"/>
      <c r="S271" s="152">
        <f t="shared" si="451"/>
        <v>133.60757767307734</v>
      </c>
      <c r="T271" s="152">
        <f t="shared" si="452"/>
        <v>15</v>
      </c>
      <c r="U271" s="191">
        <f t="shared" si="453"/>
        <v>0.19018209814554463</v>
      </c>
      <c r="V271" s="191">
        <f t="shared" si="454"/>
        <v>0.34379071587848448</v>
      </c>
      <c r="W271" s="191">
        <f t="shared" si="455"/>
        <v>0.58345682851439928</v>
      </c>
      <c r="X271" s="175">
        <f t="shared" si="456"/>
        <v>350</v>
      </c>
      <c r="Y271" s="386">
        <f t="shared" si="418"/>
        <v>350</v>
      </c>
      <c r="AA271" s="191">
        <f t="shared" si="457"/>
        <v>0.58601117528843016</v>
      </c>
      <c r="AB271" s="153">
        <f t="shared" si="458"/>
        <v>1.7978149633522333</v>
      </c>
      <c r="AC271" s="153">
        <f t="shared" si="459"/>
        <v>0.18436944043440445</v>
      </c>
      <c r="AD271" s="153"/>
      <c r="AE271" s="153">
        <f t="shared" si="460"/>
        <v>0.46018276762402083</v>
      </c>
      <c r="AF271" s="317">
        <f t="shared" si="461"/>
        <v>1593.5697399527194</v>
      </c>
      <c r="AG271" s="463">
        <f t="shared" si="462"/>
        <v>1.2079797650130546E-2</v>
      </c>
      <c r="AI271" s="153">
        <f t="shared" si="463"/>
        <v>0.3200683817514009</v>
      </c>
      <c r="AJ271" s="153">
        <f t="shared" si="464"/>
        <v>0.3200683817514009</v>
      </c>
      <c r="AK271" s="153">
        <f t="shared" si="465"/>
        <v>1.3133789211676006</v>
      </c>
      <c r="AM271" s="317">
        <f t="shared" si="466"/>
        <v>55.000000000000007</v>
      </c>
      <c r="AN271" s="147">
        <f t="shared" si="467"/>
        <v>350</v>
      </c>
      <c r="AP271">
        <f t="shared" si="468"/>
        <v>55.000000000000007</v>
      </c>
      <c r="AQ271">
        <f t="shared" si="469"/>
        <v>350</v>
      </c>
      <c r="AS271" s="5">
        <f t="shared" si="479"/>
        <v>2.8571428571428572</v>
      </c>
      <c r="AT271" s="5">
        <f t="shared" si="470"/>
        <v>0.57858515162753243</v>
      </c>
      <c r="AU271" s="5">
        <f t="shared" si="440"/>
        <v>2.2785577055153245</v>
      </c>
      <c r="AV271" s="5"/>
      <c r="AW271" s="153">
        <f t="shared" si="441"/>
        <v>0.20250480306963634</v>
      </c>
      <c r="AX271" s="153"/>
      <c r="BA271" s="147">
        <f t="shared" si="471"/>
        <v>2.7597754264171033</v>
      </c>
      <c r="BB271" s="147">
        <f t="shared" si="472"/>
        <v>2.4140638011834326</v>
      </c>
      <c r="BC271" s="5">
        <f t="shared" si="442"/>
        <v>0.10711168701140415</v>
      </c>
      <c r="BD271" s="147">
        <f t="shared" si="473"/>
        <v>0</v>
      </c>
      <c r="BQ271" s="463">
        <f t="shared" si="474"/>
        <v>2.1010000000000004E-2</v>
      </c>
      <c r="CG271" s="59">
        <f t="shared" si="475"/>
        <v>-50</v>
      </c>
      <c r="CH271">
        <f t="shared" si="476"/>
        <v>-50</v>
      </c>
    </row>
    <row r="272" spans="5:86" x14ac:dyDescent="0.25">
      <c r="E272" s="150">
        <v>56</v>
      </c>
      <c r="F272" s="191">
        <f t="shared" si="477"/>
        <v>5.6000000000000008E-2</v>
      </c>
      <c r="G272" s="191"/>
      <c r="H272" s="191">
        <f t="shared" si="443"/>
        <v>0.84000000000000008</v>
      </c>
      <c r="I272" s="472">
        <f t="shared" si="444"/>
        <v>26</v>
      </c>
      <c r="J272" s="386">
        <f t="shared" si="445"/>
        <v>15.32</v>
      </c>
      <c r="K272" s="386">
        <f t="shared" si="446"/>
        <v>41.32</v>
      </c>
      <c r="L272" s="386"/>
      <c r="M272" s="191">
        <f t="shared" si="447"/>
        <v>0.37076476282671827</v>
      </c>
      <c r="N272" s="152">
        <f t="shared" si="448"/>
        <v>3.3254522666886368</v>
      </c>
      <c r="O272" s="152">
        <f t="shared" si="478"/>
        <v>0.84000000000000008</v>
      </c>
      <c r="P272" s="191">
        <f t="shared" si="449"/>
        <v>0.22169681777924247</v>
      </c>
      <c r="Q272" s="191">
        <f t="shared" si="450"/>
        <v>15</v>
      </c>
      <c r="R272" s="191"/>
      <c r="S272" s="152">
        <f t="shared" si="451"/>
        <v>130.7599013076528</v>
      </c>
      <c r="T272" s="152">
        <f t="shared" si="452"/>
        <v>15</v>
      </c>
      <c r="U272" s="191">
        <f t="shared" si="453"/>
        <v>0.19363995447546362</v>
      </c>
      <c r="V272" s="191">
        <f t="shared" si="454"/>
        <v>0.35004145616718418</v>
      </c>
      <c r="W272" s="191">
        <f t="shared" si="455"/>
        <v>0.5940651344873884</v>
      </c>
      <c r="X272" s="175">
        <f t="shared" si="456"/>
        <v>350</v>
      </c>
      <c r="Y272" s="386">
        <f t="shared" si="418"/>
        <v>350</v>
      </c>
      <c r="AA272" s="191">
        <f t="shared" si="457"/>
        <v>0.58601117528843016</v>
      </c>
      <c r="AB272" s="153">
        <f t="shared" si="458"/>
        <v>1.7978149633522333</v>
      </c>
      <c r="AC272" s="153">
        <f t="shared" si="459"/>
        <v>0.18436944043440445</v>
      </c>
      <c r="AD272" s="153"/>
      <c r="AE272" s="153">
        <f t="shared" si="460"/>
        <v>0.46018276762402083</v>
      </c>
      <c r="AF272" s="317">
        <f t="shared" si="461"/>
        <v>1622.543735224587</v>
      </c>
      <c r="AG272" s="463">
        <f t="shared" si="462"/>
        <v>1.2079797650130546E-2</v>
      </c>
      <c r="AI272" s="153">
        <f t="shared" si="463"/>
        <v>0.32296498723348233</v>
      </c>
      <c r="AJ272" s="153">
        <f t="shared" si="464"/>
        <v>0.32296498723348233</v>
      </c>
      <c r="AK272" s="153">
        <f t="shared" si="465"/>
        <v>1.3153099914889881</v>
      </c>
      <c r="AM272" s="317">
        <f t="shared" si="466"/>
        <v>56.000000000000007</v>
      </c>
      <c r="AN272" s="147">
        <f t="shared" si="467"/>
        <v>350</v>
      </c>
      <c r="AP272">
        <f t="shared" si="468"/>
        <v>56.000000000000007</v>
      </c>
      <c r="AQ272">
        <f t="shared" si="469"/>
        <v>350</v>
      </c>
      <c r="AS272" s="5">
        <f t="shared" si="479"/>
        <v>2.8571428571428572</v>
      </c>
      <c r="AT272" s="5">
        <f t="shared" si="470"/>
        <v>0.58382132307591028</v>
      </c>
      <c r="AU272" s="5">
        <f t="shared" si="440"/>
        <v>2.2733215340669468</v>
      </c>
      <c r="AV272" s="5"/>
      <c r="AW272" s="153">
        <f t="shared" si="441"/>
        <v>0.20433746307656858</v>
      </c>
      <c r="AX272" s="153"/>
      <c r="BA272" s="147">
        <f t="shared" si="471"/>
        <v>2.7597754264171033</v>
      </c>
      <c r="BB272" s="147">
        <f t="shared" si="472"/>
        <v>2.4995914315739647</v>
      </c>
      <c r="BC272" s="5">
        <f t="shared" si="442"/>
        <v>0.10880855205790514</v>
      </c>
      <c r="BD272" s="147">
        <f t="shared" si="473"/>
        <v>0</v>
      </c>
      <c r="BQ272" s="463">
        <f t="shared" si="474"/>
        <v>2.1392000000000001E-2</v>
      </c>
      <c r="CG272" s="59">
        <f t="shared" si="475"/>
        <v>-50</v>
      </c>
      <c r="CH272">
        <f t="shared" si="476"/>
        <v>-50</v>
      </c>
    </row>
    <row r="273" spans="5:86" x14ac:dyDescent="0.25">
      <c r="E273" s="150">
        <v>57</v>
      </c>
      <c r="F273" s="191">
        <f t="shared" si="477"/>
        <v>5.6999999999999995E-2</v>
      </c>
      <c r="G273" s="191"/>
      <c r="H273" s="191">
        <f t="shared" si="443"/>
        <v>0.85499999999999998</v>
      </c>
      <c r="I273" s="472">
        <f t="shared" si="444"/>
        <v>26</v>
      </c>
      <c r="J273" s="386">
        <f t="shared" si="445"/>
        <v>15.32</v>
      </c>
      <c r="K273" s="386">
        <f t="shared" si="446"/>
        <v>41.32</v>
      </c>
      <c r="L273" s="386"/>
      <c r="M273" s="191">
        <f t="shared" si="447"/>
        <v>0.37076476282671827</v>
      </c>
      <c r="N273" s="152">
        <f t="shared" si="448"/>
        <v>3.3254522666886368</v>
      </c>
      <c r="O273" s="152">
        <f t="shared" si="478"/>
        <v>0.85499999999999998</v>
      </c>
      <c r="P273" s="191">
        <f t="shared" si="449"/>
        <v>0.22169681777924247</v>
      </c>
      <c r="Q273" s="191">
        <f t="shared" si="450"/>
        <v>15</v>
      </c>
      <c r="R273" s="191"/>
      <c r="S273" s="152">
        <f t="shared" si="451"/>
        <v>128.01220016234186</v>
      </c>
      <c r="T273" s="152">
        <f t="shared" si="452"/>
        <v>15</v>
      </c>
      <c r="U273" s="191">
        <f t="shared" si="453"/>
        <v>0.19709781080538258</v>
      </c>
      <c r="V273" s="191">
        <f t="shared" si="454"/>
        <v>0.35629219645588389</v>
      </c>
      <c r="W273" s="191">
        <f t="shared" si="455"/>
        <v>0.60467344046037719</v>
      </c>
      <c r="X273" s="175">
        <f t="shared" si="456"/>
        <v>350</v>
      </c>
      <c r="Y273" s="386">
        <f t="shared" si="418"/>
        <v>350</v>
      </c>
      <c r="AA273" s="191">
        <f t="shared" si="457"/>
        <v>0.58601117528843016</v>
      </c>
      <c r="AB273" s="153">
        <f t="shared" si="458"/>
        <v>1.7978149633522333</v>
      </c>
      <c r="AC273" s="153">
        <f t="shared" si="459"/>
        <v>0.18436944043440445</v>
      </c>
      <c r="AD273" s="153"/>
      <c r="AE273" s="153">
        <f t="shared" si="460"/>
        <v>0.46018276762402083</v>
      </c>
      <c r="AF273" s="317">
        <f t="shared" si="461"/>
        <v>1651.5177304964541</v>
      </c>
      <c r="AG273" s="463">
        <f t="shared" si="462"/>
        <v>1.2079797650130546E-2</v>
      </c>
      <c r="AI273" s="153">
        <f t="shared" si="463"/>
        <v>0.32583584357845946</v>
      </c>
      <c r="AJ273" s="153">
        <f t="shared" si="464"/>
        <v>0.32583584357845946</v>
      </c>
      <c r="AK273" s="153">
        <f t="shared" si="465"/>
        <v>1.317223895718973</v>
      </c>
      <c r="AM273" s="317">
        <f t="shared" si="466"/>
        <v>56.999999999999993</v>
      </c>
      <c r="AN273" s="147">
        <f t="shared" si="467"/>
        <v>350</v>
      </c>
      <c r="AP273">
        <f t="shared" si="468"/>
        <v>56.999999999999993</v>
      </c>
      <c r="AQ273">
        <f t="shared" si="469"/>
        <v>350</v>
      </c>
      <c r="AS273" s="5">
        <f t="shared" si="479"/>
        <v>2.8571428571428572</v>
      </c>
      <c r="AT273" s="5">
        <f t="shared" si="470"/>
        <v>0.58901094800721521</v>
      </c>
      <c r="AU273" s="5">
        <f t="shared" si="440"/>
        <v>2.2681319091356418</v>
      </c>
      <c r="AV273" s="5"/>
      <c r="AW273" s="153">
        <f t="shared" si="441"/>
        <v>0.20615383180252531</v>
      </c>
      <c r="AX273" s="153"/>
      <c r="BA273" s="147">
        <f t="shared" si="471"/>
        <v>2.7597754264171033</v>
      </c>
      <c r="BB273" s="147">
        <f t="shared" si="472"/>
        <v>2.5866060462958571</v>
      </c>
      <c r="BC273" s="5">
        <f t="shared" si="442"/>
        <v>0.11049873403481331</v>
      </c>
      <c r="BD273" s="147">
        <f t="shared" si="473"/>
        <v>0</v>
      </c>
      <c r="BQ273" s="463">
        <f t="shared" si="474"/>
        <v>2.1773999999999998E-2</v>
      </c>
      <c r="CG273" s="59">
        <f t="shared" si="475"/>
        <v>-50</v>
      </c>
      <c r="CH273">
        <f t="shared" si="476"/>
        <v>-50</v>
      </c>
    </row>
    <row r="274" spans="5:86" x14ac:dyDescent="0.25">
      <c r="E274" s="150">
        <v>58</v>
      </c>
      <c r="F274" s="191">
        <f t="shared" si="477"/>
        <v>5.7999999999999996E-2</v>
      </c>
      <c r="G274" s="191"/>
      <c r="H274" s="191">
        <f t="shared" si="443"/>
        <v>0.86999999999999988</v>
      </c>
      <c r="I274" s="472">
        <f t="shared" si="444"/>
        <v>26</v>
      </c>
      <c r="J274" s="386">
        <f t="shared" si="445"/>
        <v>15.32</v>
      </c>
      <c r="K274" s="386">
        <f t="shared" si="446"/>
        <v>41.32</v>
      </c>
      <c r="L274" s="386"/>
      <c r="M274" s="191">
        <f t="shared" si="447"/>
        <v>0.37076476282671827</v>
      </c>
      <c r="N274" s="152">
        <f t="shared" si="448"/>
        <v>3.3254522666886368</v>
      </c>
      <c r="O274" s="152">
        <f t="shared" si="478"/>
        <v>0.86999999999999988</v>
      </c>
      <c r="P274" s="191">
        <f t="shared" si="449"/>
        <v>0.22169681777924247</v>
      </c>
      <c r="Q274" s="191">
        <f t="shared" si="450"/>
        <v>15</v>
      </c>
      <c r="R274" s="191"/>
      <c r="S274" s="152">
        <f t="shared" si="451"/>
        <v>125.35930368774149</v>
      </c>
      <c r="T274" s="152">
        <f t="shared" si="452"/>
        <v>15</v>
      </c>
      <c r="U274" s="191">
        <f t="shared" si="453"/>
        <v>0.20055566713530157</v>
      </c>
      <c r="V274" s="191">
        <f t="shared" si="454"/>
        <v>0.3625429367445836</v>
      </c>
      <c r="W274" s="191">
        <f t="shared" si="455"/>
        <v>0.61528174643336631</v>
      </c>
      <c r="X274" s="175">
        <f t="shared" si="456"/>
        <v>350</v>
      </c>
      <c r="Y274" s="386">
        <f t="shared" si="418"/>
        <v>350</v>
      </c>
      <c r="AA274" s="191">
        <f t="shared" si="457"/>
        <v>0.58601117528843016</v>
      </c>
      <c r="AB274" s="153">
        <f t="shared" si="458"/>
        <v>1.7978149633522333</v>
      </c>
      <c r="AC274" s="153">
        <f t="shared" si="459"/>
        <v>0.18436944043440445</v>
      </c>
      <c r="AD274" s="153"/>
      <c r="AE274" s="153">
        <f t="shared" si="460"/>
        <v>0.46018276762402083</v>
      </c>
      <c r="AF274" s="317">
        <f t="shared" si="461"/>
        <v>1680.4917257683219</v>
      </c>
      <c r="AG274" s="463">
        <f t="shared" si="462"/>
        <v>1.2079797650130546E-2</v>
      </c>
      <c r="AI274" s="153">
        <f t="shared" si="463"/>
        <v>0.32868162550141011</v>
      </c>
      <c r="AJ274" s="153">
        <f t="shared" si="464"/>
        <v>0.32868162550141011</v>
      </c>
      <c r="AK274" s="153">
        <f t="shared" si="465"/>
        <v>1.3191210836676066</v>
      </c>
      <c r="AM274" s="317">
        <f t="shared" si="466"/>
        <v>57.999999999999993</v>
      </c>
      <c r="AN274" s="147">
        <f t="shared" si="467"/>
        <v>350</v>
      </c>
      <c r="AP274">
        <f t="shared" si="468"/>
        <v>57.999999999999993</v>
      </c>
      <c r="AQ274">
        <f t="shared" si="469"/>
        <v>350</v>
      </c>
      <c r="AS274" s="5">
        <f t="shared" si="479"/>
        <v>2.8571428571428572</v>
      </c>
      <c r="AT274" s="5">
        <f t="shared" si="470"/>
        <v>0.59415524609870285</v>
      </c>
      <c r="AU274" s="5">
        <f t="shared" si="440"/>
        <v>2.2629876110441542</v>
      </c>
      <c r="AV274" s="5"/>
      <c r="AW274" s="153">
        <f t="shared" si="441"/>
        <v>0.207954336134546</v>
      </c>
      <c r="AX274" s="153"/>
      <c r="BA274" s="147">
        <f t="shared" si="471"/>
        <v>2.7597754264171033</v>
      </c>
      <c r="BB274" s="147">
        <f t="shared" si="472"/>
        <v>2.6751076453491116</v>
      </c>
      <c r="BC274" s="5">
        <f t="shared" si="442"/>
        <v>0.11218229182953925</v>
      </c>
      <c r="BD274" s="147">
        <f t="shared" si="473"/>
        <v>0</v>
      </c>
      <c r="BQ274" s="463">
        <f t="shared" si="474"/>
        <v>2.2155999999999999E-2</v>
      </c>
      <c r="CG274" s="59">
        <f t="shared" si="475"/>
        <v>-50</v>
      </c>
      <c r="CH274">
        <f t="shared" si="476"/>
        <v>-50</v>
      </c>
    </row>
    <row r="275" spans="5:86" x14ac:dyDescent="0.25">
      <c r="E275" s="150">
        <v>59</v>
      </c>
      <c r="F275" s="191">
        <f t="shared" si="477"/>
        <v>5.8999999999999997E-2</v>
      </c>
      <c r="G275" s="191"/>
      <c r="H275" s="191">
        <f t="shared" si="443"/>
        <v>0.88500000000000001</v>
      </c>
      <c r="I275" s="472">
        <f t="shared" si="444"/>
        <v>26</v>
      </c>
      <c r="J275" s="386">
        <f t="shared" si="445"/>
        <v>15.32</v>
      </c>
      <c r="K275" s="386">
        <f t="shared" si="446"/>
        <v>41.32</v>
      </c>
      <c r="L275" s="386"/>
      <c r="M275" s="191">
        <f t="shared" si="447"/>
        <v>0.37076476282671827</v>
      </c>
      <c r="N275" s="152">
        <f t="shared" si="448"/>
        <v>3.3254522666886368</v>
      </c>
      <c r="O275" s="152">
        <f t="shared" si="478"/>
        <v>0.88500000000000001</v>
      </c>
      <c r="P275" s="191">
        <f t="shared" si="449"/>
        <v>0.22169681777924247</v>
      </c>
      <c r="Q275" s="191">
        <f t="shared" si="450"/>
        <v>15</v>
      </c>
      <c r="R275" s="191"/>
      <c r="S275" s="152">
        <f t="shared" si="451"/>
        <v>122.79639188802719</v>
      </c>
      <c r="T275" s="152">
        <f t="shared" si="452"/>
        <v>15</v>
      </c>
      <c r="U275" s="191">
        <f t="shared" si="453"/>
        <v>0.20401352346522059</v>
      </c>
      <c r="V275" s="191">
        <f t="shared" si="454"/>
        <v>0.36879367703328336</v>
      </c>
      <c r="W275" s="191">
        <f t="shared" si="455"/>
        <v>0.62589005240635553</v>
      </c>
      <c r="X275" s="175">
        <f t="shared" si="456"/>
        <v>350</v>
      </c>
      <c r="Y275" s="386">
        <f t="shared" si="418"/>
        <v>350</v>
      </c>
      <c r="AA275" s="191">
        <f t="shared" si="457"/>
        <v>0.58601117528843016</v>
      </c>
      <c r="AB275" s="153">
        <f t="shared" si="458"/>
        <v>1.7978149633522333</v>
      </c>
      <c r="AC275" s="153">
        <f t="shared" si="459"/>
        <v>0.18436944043440445</v>
      </c>
      <c r="AD275" s="153"/>
      <c r="AE275" s="153">
        <f t="shared" si="460"/>
        <v>0.46018276762402083</v>
      </c>
      <c r="AF275" s="317">
        <f t="shared" si="461"/>
        <v>1709.4657210401895</v>
      </c>
      <c r="AG275" s="463">
        <f t="shared" si="462"/>
        <v>1.2079797650130546E-2</v>
      </c>
      <c r="AI275" s="153">
        <f t="shared" si="463"/>
        <v>0.33150297875586598</v>
      </c>
      <c r="AJ275" s="153">
        <f t="shared" si="464"/>
        <v>0.33150297875586598</v>
      </c>
      <c r="AK275" s="153">
        <f t="shared" si="465"/>
        <v>1.3210019858372439</v>
      </c>
      <c r="AM275" s="317">
        <f t="shared" si="466"/>
        <v>59</v>
      </c>
      <c r="AN275" s="147">
        <f t="shared" si="467"/>
        <v>350</v>
      </c>
      <c r="AP275">
        <f t="shared" si="468"/>
        <v>59</v>
      </c>
      <c r="AQ275">
        <f t="shared" si="469"/>
        <v>350</v>
      </c>
      <c r="AS275" s="5">
        <f t="shared" si="479"/>
        <v>2.8571428571428572</v>
      </c>
      <c r="AT275" s="5">
        <f t="shared" si="470"/>
        <v>0.59925538467406536</v>
      </c>
      <c r="AU275" s="5">
        <f t="shared" si="440"/>
        <v>2.2578874724687918</v>
      </c>
      <c r="AV275" s="5"/>
      <c r="AW275" s="153">
        <f t="shared" si="441"/>
        <v>0.20973938463592287</v>
      </c>
      <c r="AX275" s="153"/>
      <c r="BA275" s="147">
        <f t="shared" si="471"/>
        <v>2.7597754264171033</v>
      </c>
      <c r="BB275" s="147">
        <f t="shared" si="472"/>
        <v>2.7650962287337277</v>
      </c>
      <c r="BC275" s="5">
        <f t="shared" si="442"/>
        <v>0.11385928279970831</v>
      </c>
      <c r="BD275" s="147">
        <f t="shared" si="473"/>
        <v>0</v>
      </c>
      <c r="BQ275" s="463">
        <f t="shared" si="474"/>
        <v>2.2537999999999999E-2</v>
      </c>
      <c r="CG275" s="59">
        <f t="shared" si="475"/>
        <v>-50</v>
      </c>
      <c r="CH275">
        <f t="shared" si="476"/>
        <v>-50</v>
      </c>
    </row>
    <row r="276" spans="5:86" x14ac:dyDescent="0.25">
      <c r="E276" s="150">
        <v>60</v>
      </c>
      <c r="F276" s="191">
        <f t="shared" si="477"/>
        <v>0.06</v>
      </c>
      <c r="G276" s="191"/>
      <c r="H276" s="191">
        <f t="shared" si="443"/>
        <v>0.89999999999999991</v>
      </c>
      <c r="I276" s="472">
        <f t="shared" si="444"/>
        <v>26</v>
      </c>
      <c r="J276" s="386">
        <f t="shared" si="445"/>
        <v>15.32</v>
      </c>
      <c r="K276" s="386">
        <f t="shared" si="446"/>
        <v>41.32</v>
      </c>
      <c r="L276" s="386"/>
      <c r="M276" s="191">
        <f t="shared" si="447"/>
        <v>0.37076476282671827</v>
      </c>
      <c r="N276" s="152">
        <f t="shared" si="448"/>
        <v>3.3254522666886368</v>
      </c>
      <c r="O276" s="152">
        <f t="shared" si="478"/>
        <v>0.89999999999999991</v>
      </c>
      <c r="P276" s="191">
        <f t="shared" si="449"/>
        <v>0.22169681777924247</v>
      </c>
      <c r="Q276" s="191">
        <f t="shared" si="450"/>
        <v>15</v>
      </c>
      <c r="R276" s="191"/>
      <c r="S276" s="152">
        <f t="shared" si="451"/>
        <v>120.3189661082849</v>
      </c>
      <c r="T276" s="152">
        <f t="shared" si="452"/>
        <v>15</v>
      </c>
      <c r="U276" s="191">
        <f t="shared" si="453"/>
        <v>0.20747137979513955</v>
      </c>
      <c r="V276" s="191">
        <f t="shared" si="454"/>
        <v>0.37504441732198301</v>
      </c>
      <c r="W276" s="191">
        <f t="shared" si="455"/>
        <v>0.63649835837934454</v>
      </c>
      <c r="X276" s="175">
        <f t="shared" si="456"/>
        <v>350</v>
      </c>
      <c r="Y276" s="386">
        <f t="shared" ref="Y276:Y316" si="480">MIN(1/(V276+W276)*1000, 350)</f>
        <v>350</v>
      </c>
      <c r="AA276" s="191">
        <f t="shared" si="457"/>
        <v>0.58601117528843016</v>
      </c>
      <c r="AB276" s="153">
        <f t="shared" si="458"/>
        <v>1.7978149633522333</v>
      </c>
      <c r="AC276" s="153">
        <f t="shared" si="459"/>
        <v>0.18436944043440445</v>
      </c>
      <c r="AD276" s="153"/>
      <c r="AE276" s="153">
        <f t="shared" si="460"/>
        <v>0.46018276762402083</v>
      </c>
      <c r="AF276" s="317">
        <f t="shared" si="461"/>
        <v>1738.439716312057</v>
      </c>
      <c r="AG276" s="463">
        <f t="shared" si="462"/>
        <v>1.2079797650130546E-2</v>
      </c>
      <c r="AI276" s="153">
        <f t="shared" si="463"/>
        <v>0.33430052184490389</v>
      </c>
      <c r="AJ276" s="153">
        <f t="shared" si="464"/>
        <v>0.33430052184490389</v>
      </c>
      <c r="AK276" s="153">
        <f t="shared" si="465"/>
        <v>1.3228670145632693</v>
      </c>
      <c r="AM276" s="317">
        <f t="shared" si="466"/>
        <v>60</v>
      </c>
      <c r="AN276" s="147">
        <f t="shared" si="467"/>
        <v>350</v>
      </c>
      <c r="AP276">
        <f t="shared" si="468"/>
        <v>60</v>
      </c>
      <c r="AQ276">
        <f t="shared" si="469"/>
        <v>350</v>
      </c>
      <c r="AS276" s="5">
        <f t="shared" si="479"/>
        <v>2.8571428571428572</v>
      </c>
      <c r="AT276" s="5">
        <f t="shared" si="470"/>
        <v>0.60431248179655694</v>
      </c>
      <c r="AU276" s="5">
        <f t="shared" si="440"/>
        <v>2.2528303753463002</v>
      </c>
      <c r="AV276" s="5"/>
      <c r="AW276" s="153">
        <f t="shared" si="441"/>
        <v>0.21150936862879494</v>
      </c>
      <c r="AX276" s="153"/>
      <c r="BA276" s="147">
        <f t="shared" si="471"/>
        <v>2.7597754264171033</v>
      </c>
      <c r="BB276" s="147">
        <f t="shared" si="472"/>
        <v>2.8565717964497042</v>
      </c>
      <c r="BC276" s="5">
        <f t="shared" si="442"/>
        <v>0.11552976283827178</v>
      </c>
      <c r="BD276" s="147">
        <f t="shared" si="473"/>
        <v>0</v>
      </c>
      <c r="BQ276" s="463">
        <f t="shared" si="474"/>
        <v>2.2919999999999999E-2</v>
      </c>
      <c r="CG276" s="59">
        <f t="shared" si="475"/>
        <v>-50</v>
      </c>
      <c r="CH276">
        <f t="shared" si="476"/>
        <v>-50</v>
      </c>
    </row>
    <row r="277" spans="5:86" x14ac:dyDescent="0.25">
      <c r="E277" s="150">
        <v>61</v>
      </c>
      <c r="F277" s="191">
        <f t="shared" si="477"/>
        <v>6.0999999999999999E-2</v>
      </c>
      <c r="G277" s="191"/>
      <c r="H277" s="191">
        <f t="shared" si="443"/>
        <v>0.91500000000000004</v>
      </c>
      <c r="I277" s="472">
        <f t="shared" si="444"/>
        <v>26</v>
      </c>
      <c r="J277" s="386">
        <f t="shared" si="445"/>
        <v>15.32</v>
      </c>
      <c r="K277" s="386">
        <f t="shared" si="446"/>
        <v>41.32</v>
      </c>
      <c r="L277" s="386"/>
      <c r="M277" s="191">
        <f t="shared" si="447"/>
        <v>0.37076476282671827</v>
      </c>
      <c r="N277" s="152">
        <f t="shared" si="448"/>
        <v>3.3254522666886368</v>
      </c>
      <c r="O277" s="152">
        <f t="shared" si="478"/>
        <v>0.91500000000000004</v>
      </c>
      <c r="P277" s="191">
        <f t="shared" si="449"/>
        <v>0.22169681777924247</v>
      </c>
      <c r="Q277" s="191">
        <f t="shared" si="450"/>
        <v>15</v>
      </c>
      <c r="R277" s="191"/>
      <c r="S277" s="152">
        <f t="shared" si="451"/>
        <v>117.92282269522279</v>
      </c>
      <c r="T277" s="152">
        <f t="shared" si="452"/>
        <v>15</v>
      </c>
      <c r="U277" s="191">
        <f t="shared" si="453"/>
        <v>0.21092923612505857</v>
      </c>
      <c r="V277" s="191">
        <f t="shared" si="454"/>
        <v>0.38129515761068278</v>
      </c>
      <c r="W277" s="191">
        <f t="shared" si="455"/>
        <v>0.64710666435233366</v>
      </c>
      <c r="X277" s="175">
        <f t="shared" si="456"/>
        <v>350</v>
      </c>
      <c r="Y277" s="386">
        <f t="shared" si="480"/>
        <v>350</v>
      </c>
      <c r="AA277" s="191">
        <f t="shared" si="457"/>
        <v>0.58601117528843016</v>
      </c>
      <c r="AB277" s="153">
        <f t="shared" si="458"/>
        <v>1.7978149633522333</v>
      </c>
      <c r="AC277" s="153">
        <f t="shared" si="459"/>
        <v>0.18436944043440445</v>
      </c>
      <c r="AD277" s="153"/>
      <c r="AE277" s="153">
        <f t="shared" si="460"/>
        <v>0.46018276762402083</v>
      </c>
      <c r="AF277" s="317">
        <f t="shared" si="461"/>
        <v>1767.4137115839246</v>
      </c>
      <c r="AG277" s="463">
        <f t="shared" si="462"/>
        <v>1.2079797650130546E-2</v>
      </c>
      <c r="AI277" s="153">
        <f t="shared" si="463"/>
        <v>0.33707484760441259</v>
      </c>
      <c r="AJ277" s="153">
        <f t="shared" si="464"/>
        <v>0.33707484760441259</v>
      </c>
      <c r="AK277" s="153">
        <f t="shared" si="465"/>
        <v>1.3247165650696084</v>
      </c>
      <c r="AM277" s="317">
        <f t="shared" si="466"/>
        <v>61</v>
      </c>
      <c r="AN277" s="147">
        <f t="shared" si="467"/>
        <v>350</v>
      </c>
      <c r="AP277">
        <f t="shared" si="468"/>
        <v>61</v>
      </c>
      <c r="AQ277">
        <f t="shared" si="469"/>
        <v>350</v>
      </c>
      <c r="AS277" s="5">
        <f t="shared" si="479"/>
        <v>2.8571428571428572</v>
      </c>
      <c r="AT277" s="5">
        <f t="shared" si="470"/>
        <v>0.60932760913105344</v>
      </c>
      <c r="AU277" s="5">
        <f t="shared" si="440"/>
        <v>2.2478152480118037</v>
      </c>
      <c r="AV277" s="5"/>
      <c r="AW277" s="153">
        <f t="shared" si="441"/>
        <v>0.2132646631958687</v>
      </c>
      <c r="AX277" s="153"/>
      <c r="BA277" s="147">
        <f t="shared" si="471"/>
        <v>2.7597754264171033</v>
      </c>
      <c r="BB277" s="147">
        <f t="shared" si="472"/>
        <v>2.9495343484970413</v>
      </c>
      <c r="BC277" s="5">
        <f t="shared" si="442"/>
        <v>0.11719378643480344</v>
      </c>
      <c r="BD277" s="147">
        <f t="shared" si="473"/>
        <v>0</v>
      </c>
      <c r="BQ277" s="463">
        <f t="shared" si="474"/>
        <v>2.3302E-2</v>
      </c>
      <c r="CG277" s="59">
        <f t="shared" si="475"/>
        <v>-50</v>
      </c>
      <c r="CH277">
        <f t="shared" si="476"/>
        <v>-50</v>
      </c>
    </row>
    <row r="278" spans="5:86" x14ac:dyDescent="0.25">
      <c r="E278" s="150">
        <v>62</v>
      </c>
      <c r="F278" s="191">
        <f t="shared" si="477"/>
        <v>6.2E-2</v>
      </c>
      <c r="G278" s="191"/>
      <c r="H278" s="191">
        <f t="shared" si="443"/>
        <v>0.92999999999999994</v>
      </c>
      <c r="I278" s="472">
        <f t="shared" si="444"/>
        <v>26</v>
      </c>
      <c r="J278" s="386">
        <f t="shared" si="445"/>
        <v>15.32</v>
      </c>
      <c r="K278" s="386">
        <f t="shared" si="446"/>
        <v>41.32</v>
      </c>
      <c r="L278" s="386"/>
      <c r="M278" s="191">
        <f t="shared" si="447"/>
        <v>0.37076476282671827</v>
      </c>
      <c r="N278" s="152">
        <f t="shared" si="448"/>
        <v>3.3254522666886368</v>
      </c>
      <c r="O278" s="152">
        <f t="shared" si="478"/>
        <v>0.92999999999999994</v>
      </c>
      <c r="P278" s="191">
        <f t="shared" si="449"/>
        <v>0.22169681777924247</v>
      </c>
      <c r="Q278" s="191">
        <f t="shared" si="450"/>
        <v>15</v>
      </c>
      <c r="R278" s="191"/>
      <c r="S278" s="152">
        <f t="shared" si="451"/>
        <v>115.60402920684895</v>
      </c>
      <c r="T278" s="152">
        <f t="shared" si="452"/>
        <v>15</v>
      </c>
      <c r="U278" s="191">
        <f t="shared" si="453"/>
        <v>0.21438709245497753</v>
      </c>
      <c r="V278" s="191">
        <f t="shared" si="454"/>
        <v>0.38754589789938243</v>
      </c>
      <c r="W278" s="191">
        <f t="shared" si="455"/>
        <v>0.65771497032532267</v>
      </c>
      <c r="X278" s="175">
        <f t="shared" si="456"/>
        <v>350</v>
      </c>
      <c r="Y278" s="386">
        <f t="shared" si="480"/>
        <v>350</v>
      </c>
      <c r="AA278" s="191">
        <f t="shared" si="457"/>
        <v>0.58601117528843016</v>
      </c>
      <c r="AB278" s="153">
        <f t="shared" si="458"/>
        <v>1.7978149633522333</v>
      </c>
      <c r="AC278" s="153">
        <f t="shared" si="459"/>
        <v>0.18436944043440445</v>
      </c>
      <c r="AD278" s="153"/>
      <c r="AE278" s="153">
        <f t="shared" si="460"/>
        <v>0.46018276762402083</v>
      </c>
      <c r="AF278" s="317">
        <f t="shared" si="461"/>
        <v>1796.3877068557924</v>
      </c>
      <c r="AG278" s="463">
        <f t="shared" si="462"/>
        <v>1.2079797650130546E-2</v>
      </c>
      <c r="AI278" s="153">
        <f t="shared" si="463"/>
        <v>0.33982652467001589</v>
      </c>
      <c r="AJ278" s="153">
        <f t="shared" si="464"/>
        <v>0.33982652467001589</v>
      </c>
      <c r="AK278" s="153">
        <f t="shared" si="465"/>
        <v>1.3265510164466772</v>
      </c>
      <c r="AM278" s="317">
        <f t="shared" si="466"/>
        <v>62</v>
      </c>
      <c r="AN278" s="147">
        <f t="shared" si="467"/>
        <v>350</v>
      </c>
      <c r="AP278">
        <f t="shared" si="468"/>
        <v>62</v>
      </c>
      <c r="AQ278">
        <f t="shared" si="469"/>
        <v>350</v>
      </c>
      <c r="AS278" s="5">
        <f t="shared" si="479"/>
        <v>2.8571428571428572</v>
      </c>
      <c r="AT278" s="5">
        <f t="shared" si="470"/>
        <v>0.61430179459579792</v>
      </c>
      <c r="AU278" s="5">
        <f t="shared" si="440"/>
        <v>2.2428410625470594</v>
      </c>
      <c r="AV278" s="5"/>
      <c r="AW278" s="153">
        <f t="shared" si="441"/>
        <v>0.21500562810852927</v>
      </c>
      <c r="AX278" s="153"/>
      <c r="BA278" s="147">
        <f t="shared" si="471"/>
        <v>2.7597754264171033</v>
      </c>
      <c r="BB278" s="147">
        <f t="shared" si="472"/>
        <v>3.0439838848757392</v>
      </c>
      <c r="BC278" s="5">
        <f t="shared" si="442"/>
        <v>0.11885140673326296</v>
      </c>
      <c r="BD278" s="147">
        <f t="shared" si="473"/>
        <v>0</v>
      </c>
      <c r="BQ278" s="463">
        <f t="shared" si="474"/>
        <v>2.3684E-2</v>
      </c>
      <c r="CG278" s="59">
        <f t="shared" si="475"/>
        <v>-50</v>
      </c>
      <c r="CH278">
        <f t="shared" si="476"/>
        <v>-50</v>
      </c>
    </row>
    <row r="279" spans="5:86" x14ac:dyDescent="0.25">
      <c r="E279" s="150">
        <v>63</v>
      </c>
      <c r="F279" s="191">
        <f t="shared" si="477"/>
        <v>6.3E-2</v>
      </c>
      <c r="G279" s="191"/>
      <c r="H279" s="191">
        <f t="shared" si="443"/>
        <v>0.94500000000000006</v>
      </c>
      <c r="I279" s="472">
        <f t="shared" si="444"/>
        <v>26</v>
      </c>
      <c r="J279" s="386">
        <f t="shared" si="445"/>
        <v>15.32</v>
      </c>
      <c r="K279" s="386">
        <f t="shared" si="446"/>
        <v>41.32</v>
      </c>
      <c r="L279" s="386"/>
      <c r="M279" s="191">
        <f t="shared" si="447"/>
        <v>0.37076476282671827</v>
      </c>
      <c r="N279" s="152">
        <f t="shared" si="448"/>
        <v>3.3254522666886368</v>
      </c>
      <c r="O279" s="152">
        <f t="shared" si="478"/>
        <v>0.94500000000000006</v>
      </c>
      <c r="P279" s="191">
        <f t="shared" si="449"/>
        <v>0.22169681777924247</v>
      </c>
      <c r="Q279" s="191">
        <f t="shared" si="450"/>
        <v>15</v>
      </c>
      <c r="R279" s="191"/>
      <c r="S279" s="152">
        <f t="shared" si="451"/>
        <v>113.35890288789675</v>
      </c>
      <c r="T279" s="152">
        <f t="shared" si="452"/>
        <v>15</v>
      </c>
      <c r="U279" s="191">
        <f t="shared" si="453"/>
        <v>0.21784494878489657</v>
      </c>
      <c r="V279" s="191">
        <f t="shared" si="454"/>
        <v>0.39379663818808225</v>
      </c>
      <c r="W279" s="191">
        <f t="shared" si="455"/>
        <v>0.6683232762983119</v>
      </c>
      <c r="X279" s="175">
        <f t="shared" si="456"/>
        <v>350</v>
      </c>
      <c r="Y279" s="386">
        <f t="shared" si="480"/>
        <v>350</v>
      </c>
      <c r="AA279" s="191">
        <f t="shared" si="457"/>
        <v>0.58601117528843016</v>
      </c>
      <c r="AB279" s="153">
        <f t="shared" si="458"/>
        <v>1.7978149633522333</v>
      </c>
      <c r="AC279" s="153">
        <f t="shared" si="459"/>
        <v>0.18436944043440445</v>
      </c>
      <c r="AD279" s="153"/>
      <c r="AE279" s="153">
        <f t="shared" si="460"/>
        <v>0.46018276762402083</v>
      </c>
      <c r="AF279" s="317">
        <f t="shared" si="461"/>
        <v>1825.36170212766</v>
      </c>
      <c r="AG279" s="463">
        <f t="shared" si="462"/>
        <v>1.2079797650130546E-2</v>
      </c>
      <c r="AI279" s="153">
        <f t="shared" si="463"/>
        <v>0.34255609883793314</v>
      </c>
      <c r="AJ279" s="153">
        <f t="shared" si="464"/>
        <v>0.34255609883793314</v>
      </c>
      <c r="AK279" s="153">
        <f t="shared" si="465"/>
        <v>1.328370732558622</v>
      </c>
      <c r="AM279" s="317">
        <f t="shared" si="466"/>
        <v>63</v>
      </c>
      <c r="AN279" s="147">
        <f t="shared" si="467"/>
        <v>350</v>
      </c>
      <c r="AP279">
        <f t="shared" si="468"/>
        <v>63</v>
      </c>
      <c r="AQ279">
        <f t="shared" si="469"/>
        <v>350</v>
      </c>
      <c r="AS279" s="5">
        <f t="shared" si="479"/>
        <v>2.8571428571428572</v>
      </c>
      <c r="AT279" s="5">
        <f t="shared" si="470"/>
        <v>0.61923602482241757</v>
      </c>
      <c r="AU279" s="5">
        <f t="shared" si="440"/>
        <v>2.2379068323204399</v>
      </c>
      <c r="AV279" s="5"/>
      <c r="AW279" s="153">
        <f t="shared" si="441"/>
        <v>0.21673260868784613</v>
      </c>
      <c r="AX279" s="153"/>
      <c r="BA279" s="147">
        <f t="shared" si="471"/>
        <v>2.7597754264171033</v>
      </c>
      <c r="BB279" s="147">
        <f t="shared" si="472"/>
        <v>3.1399204055857992</v>
      </c>
      <c r="BC279" s="5">
        <f t="shared" si="442"/>
        <v>0.12050267558648524</v>
      </c>
      <c r="BD279" s="147">
        <f t="shared" si="473"/>
        <v>0</v>
      </c>
      <c r="BQ279" s="463">
        <f t="shared" si="474"/>
        <v>2.4066000000000001E-2</v>
      </c>
      <c r="CG279" s="59">
        <f t="shared" si="475"/>
        <v>-50</v>
      </c>
      <c r="CH279">
        <f t="shared" si="476"/>
        <v>-50</v>
      </c>
    </row>
    <row r="280" spans="5:86" x14ac:dyDescent="0.25">
      <c r="E280" s="150">
        <v>64</v>
      </c>
      <c r="F280" s="191">
        <f t="shared" si="477"/>
        <v>6.4000000000000001E-2</v>
      </c>
      <c r="G280" s="191"/>
      <c r="H280" s="191">
        <f t="shared" ref="H280:H311" si="481">F280*Vout</f>
        <v>0.96</v>
      </c>
      <c r="I280" s="472">
        <f t="shared" ref="I280:I316" si="482">VIN_max</f>
        <v>26</v>
      </c>
      <c r="J280" s="386">
        <f t="shared" ref="J280:J316" si="483">(T280+Vfwd1)*Nps</f>
        <v>15.32</v>
      </c>
      <c r="K280" s="386">
        <f t="shared" ref="K280:K316" si="484">(Vout+Vfwd1)*Nps+I280</f>
        <v>41.32</v>
      </c>
      <c r="L280" s="386"/>
      <c r="M280" s="191">
        <f t="shared" ref="M280:M316" si="485">(Vout+Vfwd1)*Nps/((Vout+Vfwd1)*Nps+I280)</f>
        <v>0.37076476282671827</v>
      </c>
      <c r="N280" s="152">
        <f t="shared" ref="N280:N311" si="486">M280*I280*(Isw_max+VIN_max/Lmag*ILIM_delay)*0.5*Efficiency</f>
        <v>3.3254522666886368</v>
      </c>
      <c r="O280" s="152">
        <f t="shared" si="478"/>
        <v>0.96</v>
      </c>
      <c r="P280" s="191">
        <f t="shared" ref="P280:P311" si="487">N280/Vout</f>
        <v>0.22169681777924247</v>
      </c>
      <c r="Q280" s="191">
        <f t="shared" ref="Q280:Q316" si="488">MIN(Vout,N280/F280)</f>
        <v>15</v>
      </c>
      <c r="R280" s="191"/>
      <c r="S280" s="152">
        <f t="shared" ref="S280:S316" si="489">(SQRT(Isw_max^2*Nps^2*I280^2+4*Isw_max*F280/Efficiency*(Nps^2*Vfwd1*I280-Nps*I280^2)+4*(F280/Efficiency)^2*Nps^2*Vfwd1^2+8*(F280/Efficiency)^2*Nps*Vfwd1*I280+4*(F280/Efficiency)^2*I280^2)-2*F280/Efficiency*I280-2*F280/Efficiency*Nps*Vfwd1+Isw_max*Nps*I280)/(4*F280/Efficiency*Nps)</f>
        <v>111.18399116318132</v>
      </c>
      <c r="T280" s="152">
        <f t="shared" ref="T280:T311" si="490">MIN(Vout, S280)</f>
        <v>15</v>
      </c>
      <c r="U280" s="191">
        <f t="shared" ref="U280:U316" si="491">MIN(2*Vout*F280/(Efficiency*I280*M280), Isw_max)</f>
        <v>0.22130280511481554</v>
      </c>
      <c r="V280" s="191">
        <f t="shared" ref="V280:V311" si="492">L*U280/I280*1000000</f>
        <v>0.40004737847678196</v>
      </c>
      <c r="W280" s="191">
        <f t="shared" ref="W280:W316" si="493">L*U280/J280*1000000</f>
        <v>0.6789315822713009</v>
      </c>
      <c r="X280" s="175">
        <f t="shared" ref="X280:X316" si="494">IF(1/((350000*L)*(1/I280+1/J280))&gt;Isw_min, 350, 0.001/((Isw_min*L)*(1/I280+1/J280)))</f>
        <v>350</v>
      </c>
      <c r="Y280" s="386">
        <f t="shared" si="480"/>
        <v>350</v>
      </c>
      <c r="AA280" s="191">
        <f t="shared" ref="AA280:AA316" si="495">1/((X280*1000*L)*(1/I280+1/J280))</f>
        <v>0.58601117528843016</v>
      </c>
      <c r="AB280" s="153">
        <f t="shared" ref="AB280:AB311" si="496">L*AA280/J280*1000000</f>
        <v>1.7978149633522333</v>
      </c>
      <c r="AC280" s="153">
        <f t="shared" ref="AC280:AC311" si="497">0.5*AB280*AA280*Nps*X280/1000</f>
        <v>0.18436944043440445</v>
      </c>
      <c r="AD280" s="153"/>
      <c r="AE280" s="153">
        <f t="shared" ref="AE280:AE316" si="498">L*Isw_min/J280*1000000</f>
        <v>0.46018276762402083</v>
      </c>
      <c r="AF280" s="317">
        <f t="shared" ref="AF280:AF311" si="499">MAX(12000,F280/(0.5*AE280/1000000*Isw_min*Nps))/1000</f>
        <v>1854.3356973995278</v>
      </c>
      <c r="AG280" s="463">
        <f t="shared" ref="AG280:AG316" si="500">0.5*AE280/1000000*Isw_min*Nps*X280*1000</f>
        <v>1.2079797650130546E-2</v>
      </c>
      <c r="AI280" s="153">
        <f t="shared" ref="AI280:AI316" si="501">SQRT(F280/(0.5*L/J280*Fsw_DCM*Nps))</f>
        <v>0.34526409432900307</v>
      </c>
      <c r="AJ280" s="153">
        <f t="shared" ref="AJ280:AJ311" si="502">MAX(IF(F280&gt;AC280,U280,AI280),Isw_min)</f>
        <v>0.34526409432900307</v>
      </c>
      <c r="AK280" s="153">
        <f t="shared" ref="AK280:AK311" si="503">IF(F280&gt;AG280, (AJ280-Isw_min)/1.2*0.8+1.2, AF280*0.2/350+1)</f>
        <v>1.330176062886002</v>
      </c>
      <c r="AM280" s="317">
        <f t="shared" ref="AM280:AM316" si="504">F280*1000</f>
        <v>64</v>
      </c>
      <c r="AN280" s="147">
        <f t="shared" ref="AN280:AN316" si="505">IF(F280&gt;AG280, Y280, AF280)</f>
        <v>350</v>
      </c>
      <c r="AP280">
        <f t="shared" ref="AP280:AP316" si="506">IF(H280&gt;N280, "",AM280)</f>
        <v>64</v>
      </c>
      <c r="AQ280">
        <f t="shared" ref="AQ280:AQ316" si="507">IF(H280&gt;N280, "",AN280)</f>
        <v>350</v>
      </c>
      <c r="AS280" s="5">
        <f t="shared" si="479"/>
        <v>2.8571428571428572</v>
      </c>
      <c r="AT280" s="5">
        <f t="shared" ref="AT280:AT316" si="508">L*AJ280/I280*1000000</f>
        <v>0.6241312474408901</v>
      </c>
      <c r="AU280" s="5">
        <f t="shared" si="440"/>
        <v>2.233011609701967</v>
      </c>
      <c r="AV280" s="5"/>
      <c r="AW280" s="153">
        <f t="shared" si="441"/>
        <v>0.21844593660431152</v>
      </c>
      <c r="AX280" s="153"/>
      <c r="BA280" s="147">
        <f t="shared" ref="BA280:BA316" si="509">L*Isw_max^2/(2*Vout_ripple*Vout)*1000000000*((1+M280)/2)^2</f>
        <v>2.7597754264171033</v>
      </c>
      <c r="BB280" s="147">
        <f t="shared" ref="BB280:BB316" si="510">L*F280^2/(2*Cout*Vout*Nps^2)*1000000000*((1+M280)/(1-M280))^2+F280*RCoutEsr</f>
        <v>3.2373439106272186</v>
      </c>
      <c r="BC280" s="5">
        <f t="shared" si="442"/>
        <v>0.12214764360762896</v>
      </c>
      <c r="BD280" s="147">
        <f t="shared" ref="BD280:BD316" si="511">((CB280/I280/Efficiency)*AU280/Cin+(CB280/I280/Efficiency)*RCinEsr)*1000</f>
        <v>0</v>
      </c>
      <c r="BQ280" s="463">
        <f t="shared" ref="BQ280:BQ316" si="512">(Vfwd2*F280+BG280^2*Rdiode)*(1+Diode_TC/1000*(Ta-25))</f>
        <v>2.4448000000000001E-2</v>
      </c>
      <c r="CG280" s="59">
        <f t="shared" ref="CG280:CG316" si="513">IF(ABS(F280-Ioutmax_Vinmax)&lt;Iout/200, AN280, -50)</f>
        <v>-50</v>
      </c>
      <c r="CH280">
        <f t="shared" ref="CH280:CH316" si="514">IF(ABS(F280-Ioutmax_Vinmin)&lt;Iout/200, N280*CC280, -50)</f>
        <v>-50</v>
      </c>
    </row>
    <row r="281" spans="5:86" x14ac:dyDescent="0.25">
      <c r="E281" s="150">
        <v>65</v>
      </c>
      <c r="F281" s="191">
        <f t="shared" ref="F281:F312" si="515">IF(PLOT_TYPE=1, E281/100*Iout_max, min_I*EXP(N281*rr/100))</f>
        <v>6.5000000000000002E-2</v>
      </c>
      <c r="G281" s="191"/>
      <c r="H281" s="191">
        <f t="shared" si="481"/>
        <v>0.97500000000000009</v>
      </c>
      <c r="I281" s="472">
        <f t="shared" si="482"/>
        <v>26</v>
      </c>
      <c r="J281" s="386">
        <f t="shared" si="483"/>
        <v>15.32</v>
      </c>
      <c r="K281" s="386">
        <f t="shared" si="484"/>
        <v>41.32</v>
      </c>
      <c r="L281" s="386"/>
      <c r="M281" s="191">
        <f t="shared" si="485"/>
        <v>0.37076476282671827</v>
      </c>
      <c r="N281" s="152">
        <f t="shared" si="486"/>
        <v>3.3254522666886368</v>
      </c>
      <c r="O281" s="152">
        <f t="shared" si="478"/>
        <v>0.97500000000000009</v>
      </c>
      <c r="P281" s="191">
        <f t="shared" si="487"/>
        <v>0.22169681777924247</v>
      </c>
      <c r="Q281" s="191">
        <f t="shared" si="488"/>
        <v>15</v>
      </c>
      <c r="R281" s="191"/>
      <c r="S281" s="152">
        <f t="shared" si="489"/>
        <v>109.07605393157236</v>
      </c>
      <c r="T281" s="152">
        <f t="shared" si="490"/>
        <v>15</v>
      </c>
      <c r="U281" s="191">
        <f t="shared" si="491"/>
        <v>0.22476066144473456</v>
      </c>
      <c r="V281" s="191">
        <f t="shared" si="492"/>
        <v>0.40629811876548172</v>
      </c>
      <c r="W281" s="191">
        <f t="shared" si="493"/>
        <v>0.68953988824429013</v>
      </c>
      <c r="X281" s="175">
        <f t="shared" si="494"/>
        <v>350</v>
      </c>
      <c r="Y281" s="386">
        <f t="shared" si="480"/>
        <v>350</v>
      </c>
      <c r="AA281" s="191">
        <f t="shared" si="495"/>
        <v>0.58601117528843016</v>
      </c>
      <c r="AB281" s="153">
        <f t="shared" si="496"/>
        <v>1.7978149633522333</v>
      </c>
      <c r="AC281" s="153">
        <f t="shared" si="497"/>
        <v>0.18436944043440445</v>
      </c>
      <c r="AD281" s="153"/>
      <c r="AE281" s="153">
        <f t="shared" si="498"/>
        <v>0.46018276762402083</v>
      </c>
      <c r="AF281" s="317">
        <f t="shared" si="499"/>
        <v>1883.3096926713954</v>
      </c>
      <c r="AG281" s="463">
        <f t="shared" si="500"/>
        <v>1.2079797650130546E-2</v>
      </c>
      <c r="AI281" s="153">
        <f t="shared" si="501"/>
        <v>0.34795101496416081</v>
      </c>
      <c r="AJ281" s="153">
        <f t="shared" si="502"/>
        <v>0.34795101496416081</v>
      </c>
      <c r="AK281" s="153">
        <f t="shared" si="503"/>
        <v>1.3319673433094406</v>
      </c>
      <c r="AM281" s="317">
        <f t="shared" si="504"/>
        <v>65</v>
      </c>
      <c r="AN281" s="147">
        <f t="shared" si="505"/>
        <v>350</v>
      </c>
      <c r="AP281">
        <f t="shared" si="506"/>
        <v>65</v>
      </c>
      <c r="AQ281">
        <f t="shared" si="507"/>
        <v>350</v>
      </c>
      <c r="AS281" s="5">
        <f t="shared" si="479"/>
        <v>2.8571428571428572</v>
      </c>
      <c r="AT281" s="5">
        <f t="shared" si="508"/>
        <v>0.62898837320444456</v>
      </c>
      <c r="AU281" s="5">
        <f t="shared" si="440"/>
        <v>2.2281544839384129</v>
      </c>
      <c r="AV281" s="5"/>
      <c r="AW281" s="153">
        <f t="shared" si="441"/>
        <v>0.2201459306215556</v>
      </c>
      <c r="AX281" s="153"/>
      <c r="BA281" s="147">
        <f t="shared" si="509"/>
        <v>2.7597754264171033</v>
      </c>
      <c r="BB281" s="147">
        <f t="shared" si="510"/>
        <v>3.3362544000000001</v>
      </c>
      <c r="BC281" s="5">
        <f t="shared" si="442"/>
        <v>0.12378636021880073</v>
      </c>
      <c r="BD281" s="147">
        <f t="shared" si="511"/>
        <v>0</v>
      </c>
      <c r="BQ281" s="463">
        <f t="shared" si="512"/>
        <v>2.4830000000000001E-2</v>
      </c>
      <c r="CG281" s="59">
        <f t="shared" si="513"/>
        <v>-50</v>
      </c>
      <c r="CH281">
        <f t="shared" si="514"/>
        <v>-50</v>
      </c>
    </row>
    <row r="282" spans="5:86" x14ac:dyDescent="0.25">
      <c r="E282" s="150">
        <v>66</v>
      </c>
      <c r="F282" s="191">
        <f t="shared" si="515"/>
        <v>6.6000000000000003E-2</v>
      </c>
      <c r="G282" s="191"/>
      <c r="H282" s="191">
        <f t="shared" si="481"/>
        <v>0.99</v>
      </c>
      <c r="I282" s="472">
        <f t="shared" si="482"/>
        <v>26</v>
      </c>
      <c r="J282" s="386">
        <f t="shared" si="483"/>
        <v>15.32</v>
      </c>
      <c r="K282" s="386">
        <f t="shared" si="484"/>
        <v>41.32</v>
      </c>
      <c r="L282" s="386"/>
      <c r="M282" s="191">
        <f t="shared" si="485"/>
        <v>0.37076476282671827</v>
      </c>
      <c r="N282" s="152">
        <f t="shared" si="486"/>
        <v>3.3254522666886368</v>
      </c>
      <c r="O282" s="152">
        <f t="shared" si="478"/>
        <v>0.99</v>
      </c>
      <c r="P282" s="191">
        <f t="shared" si="487"/>
        <v>0.22169681777924247</v>
      </c>
      <c r="Q282" s="191">
        <f t="shared" si="488"/>
        <v>15</v>
      </c>
      <c r="R282" s="191"/>
      <c r="S282" s="152">
        <f t="shared" si="489"/>
        <v>107.03204746960813</v>
      </c>
      <c r="T282" s="152">
        <f t="shared" si="490"/>
        <v>15</v>
      </c>
      <c r="U282" s="191">
        <f t="shared" si="491"/>
        <v>0.22821851777465352</v>
      </c>
      <c r="V282" s="191">
        <f t="shared" si="492"/>
        <v>0.41254885905418137</v>
      </c>
      <c r="W282" s="191">
        <f t="shared" si="493"/>
        <v>0.70014819421727903</v>
      </c>
      <c r="X282" s="175">
        <f t="shared" si="494"/>
        <v>350</v>
      </c>
      <c r="Y282" s="386">
        <f t="shared" si="480"/>
        <v>350</v>
      </c>
      <c r="AA282" s="191">
        <f t="shared" si="495"/>
        <v>0.58601117528843016</v>
      </c>
      <c r="AB282" s="153">
        <f t="shared" si="496"/>
        <v>1.7978149633522333</v>
      </c>
      <c r="AC282" s="153">
        <f t="shared" si="497"/>
        <v>0.18436944043440445</v>
      </c>
      <c r="AD282" s="153"/>
      <c r="AE282" s="153">
        <f t="shared" si="498"/>
        <v>0.46018276762402083</v>
      </c>
      <c r="AF282" s="317">
        <f t="shared" si="499"/>
        <v>1912.283687943263</v>
      </c>
      <c r="AG282" s="463">
        <f t="shared" si="500"/>
        <v>1.2079797650130546E-2</v>
      </c>
      <c r="AI282" s="153">
        <f t="shared" si="501"/>
        <v>0.35061734525883426</v>
      </c>
      <c r="AJ282" s="153">
        <f t="shared" si="502"/>
        <v>0.35061734525883426</v>
      </c>
      <c r="AK282" s="153">
        <f t="shared" si="503"/>
        <v>1.3337448968392227</v>
      </c>
      <c r="AM282" s="317">
        <f t="shared" si="504"/>
        <v>66</v>
      </c>
      <c r="AN282" s="147">
        <f t="shared" si="505"/>
        <v>350</v>
      </c>
      <c r="AP282">
        <f t="shared" si="506"/>
        <v>66</v>
      </c>
      <c r="AQ282">
        <f t="shared" si="507"/>
        <v>350</v>
      </c>
      <c r="AS282" s="5">
        <f t="shared" si="479"/>
        <v>2.8571428571428572</v>
      </c>
      <c r="AT282" s="5">
        <f t="shared" si="508"/>
        <v>0.63380827796789263</v>
      </c>
      <c r="AU282" s="5">
        <f t="shared" si="440"/>
        <v>2.2233345791749644</v>
      </c>
      <c r="AV282" s="5"/>
      <c r="AW282" s="153">
        <f t="shared" si="441"/>
        <v>0.2218328972887624</v>
      </c>
      <c r="AX282" s="153"/>
      <c r="BA282" s="147">
        <f t="shared" si="509"/>
        <v>2.7597754264171033</v>
      </c>
      <c r="BB282" s="147">
        <f t="shared" si="510"/>
        <v>3.4366518737041423</v>
      </c>
      <c r="BC282" s="5">
        <f t="shared" si="442"/>
        <v>0.12541887369704927</v>
      </c>
      <c r="BD282" s="147">
        <f t="shared" si="511"/>
        <v>0</v>
      </c>
      <c r="BQ282" s="463">
        <f t="shared" si="512"/>
        <v>2.5212000000000002E-2</v>
      </c>
      <c r="CG282" s="59">
        <f t="shared" si="513"/>
        <v>-50</v>
      </c>
      <c r="CH282">
        <f t="shared" si="514"/>
        <v>-50</v>
      </c>
    </row>
    <row r="283" spans="5:86" x14ac:dyDescent="0.25">
      <c r="E283" s="150">
        <v>67</v>
      </c>
      <c r="F283" s="191">
        <f t="shared" si="515"/>
        <v>6.7000000000000004E-2</v>
      </c>
      <c r="G283" s="191"/>
      <c r="H283" s="191">
        <f t="shared" si="481"/>
        <v>1.0050000000000001</v>
      </c>
      <c r="I283" s="472">
        <f t="shared" si="482"/>
        <v>26</v>
      </c>
      <c r="J283" s="386">
        <f t="shared" si="483"/>
        <v>15.32</v>
      </c>
      <c r="K283" s="386">
        <f t="shared" si="484"/>
        <v>41.32</v>
      </c>
      <c r="L283" s="386"/>
      <c r="M283" s="191">
        <f t="shared" si="485"/>
        <v>0.37076476282671827</v>
      </c>
      <c r="N283" s="152">
        <f t="shared" si="486"/>
        <v>3.3254522666886368</v>
      </c>
      <c r="O283" s="152">
        <f t="shared" si="478"/>
        <v>1.0050000000000001</v>
      </c>
      <c r="P283" s="191">
        <f t="shared" si="487"/>
        <v>0.22169681777924247</v>
      </c>
      <c r="Q283" s="191">
        <f t="shared" si="488"/>
        <v>15</v>
      </c>
      <c r="R283" s="191"/>
      <c r="S283" s="152">
        <f t="shared" si="489"/>
        <v>105.04910977657946</v>
      </c>
      <c r="T283" s="152">
        <f t="shared" si="490"/>
        <v>15</v>
      </c>
      <c r="U283" s="191">
        <f t="shared" si="491"/>
        <v>0.23167637410457254</v>
      </c>
      <c r="V283" s="191">
        <f t="shared" si="492"/>
        <v>0.41879959934288102</v>
      </c>
      <c r="W283" s="191">
        <f t="shared" si="493"/>
        <v>0.71075650019026815</v>
      </c>
      <c r="X283" s="175">
        <f t="shared" si="494"/>
        <v>350</v>
      </c>
      <c r="Y283" s="386">
        <f t="shared" si="480"/>
        <v>350</v>
      </c>
      <c r="AA283" s="191">
        <f t="shared" si="495"/>
        <v>0.58601117528843016</v>
      </c>
      <c r="AB283" s="153">
        <f t="shared" si="496"/>
        <v>1.7978149633522333</v>
      </c>
      <c r="AC283" s="153">
        <f t="shared" si="497"/>
        <v>0.18436944043440445</v>
      </c>
      <c r="AD283" s="153"/>
      <c r="AE283" s="153">
        <f t="shared" si="498"/>
        <v>0.46018276762402083</v>
      </c>
      <c r="AF283" s="317">
        <f t="shared" si="499"/>
        <v>1941.2576832151306</v>
      </c>
      <c r="AG283" s="463">
        <f t="shared" si="500"/>
        <v>1.2079797650130546E-2</v>
      </c>
      <c r="AI283" s="153">
        <f t="shared" si="501"/>
        <v>0.35326355144299204</v>
      </c>
      <c r="AJ283" s="153">
        <f t="shared" si="502"/>
        <v>0.35326355144299204</v>
      </c>
      <c r="AK283" s="153">
        <f t="shared" si="503"/>
        <v>1.335509034295328</v>
      </c>
      <c r="AM283" s="317">
        <f t="shared" si="504"/>
        <v>67</v>
      </c>
      <c r="AN283" s="147">
        <f t="shared" si="505"/>
        <v>350</v>
      </c>
      <c r="AP283">
        <f t="shared" si="506"/>
        <v>67</v>
      </c>
      <c r="AQ283">
        <f t="shared" si="507"/>
        <v>350</v>
      </c>
      <c r="AS283" s="5">
        <f t="shared" si="479"/>
        <v>2.8571428571428572</v>
      </c>
      <c r="AT283" s="5">
        <f t="shared" si="508"/>
        <v>0.6385918045315625</v>
      </c>
      <c r="AU283" s="5">
        <f t="shared" si="440"/>
        <v>2.2185510526112946</v>
      </c>
      <c r="AV283" s="5"/>
      <c r="AW283" s="153">
        <f t="shared" si="441"/>
        <v>0.22350713158604688</v>
      </c>
      <c r="AX283" s="153"/>
      <c r="BA283" s="147">
        <f t="shared" si="509"/>
        <v>2.7597754264171033</v>
      </c>
      <c r="BB283" s="147">
        <f t="shared" si="510"/>
        <v>3.5385363317396457</v>
      </c>
      <c r="BC283" s="5">
        <f t="shared" si="442"/>
        <v>0.12704523121791175</v>
      </c>
      <c r="BD283" s="147">
        <f t="shared" si="511"/>
        <v>0</v>
      </c>
      <c r="BQ283" s="463">
        <f t="shared" si="512"/>
        <v>2.5594000000000002E-2</v>
      </c>
      <c r="CG283" s="59">
        <f t="shared" si="513"/>
        <v>-50</v>
      </c>
      <c r="CH283">
        <f t="shared" si="514"/>
        <v>-50</v>
      </c>
    </row>
    <row r="284" spans="5:86" x14ac:dyDescent="0.25">
      <c r="E284" s="150">
        <v>68</v>
      </c>
      <c r="F284" s="191">
        <f t="shared" si="515"/>
        <v>6.8000000000000005E-2</v>
      </c>
      <c r="G284" s="191"/>
      <c r="H284" s="191">
        <f t="shared" si="481"/>
        <v>1.02</v>
      </c>
      <c r="I284" s="472">
        <f t="shared" si="482"/>
        <v>26</v>
      </c>
      <c r="J284" s="386">
        <f t="shared" si="483"/>
        <v>15.32</v>
      </c>
      <c r="K284" s="386">
        <f t="shared" si="484"/>
        <v>41.32</v>
      </c>
      <c r="L284" s="386"/>
      <c r="M284" s="191">
        <f t="shared" si="485"/>
        <v>0.37076476282671827</v>
      </c>
      <c r="N284" s="152">
        <f t="shared" si="486"/>
        <v>3.3254522666886368</v>
      </c>
      <c r="O284" s="152">
        <f t="shared" si="478"/>
        <v>1.02</v>
      </c>
      <c r="P284" s="191">
        <f t="shared" si="487"/>
        <v>0.22169681777924247</v>
      </c>
      <c r="Q284" s="191">
        <f t="shared" si="488"/>
        <v>15</v>
      </c>
      <c r="R284" s="191"/>
      <c r="S284" s="152">
        <f t="shared" si="489"/>
        <v>103.12454721269744</v>
      </c>
      <c r="T284" s="152">
        <f t="shared" si="490"/>
        <v>15</v>
      </c>
      <c r="U284" s="191">
        <f t="shared" si="491"/>
        <v>0.23513423043449153</v>
      </c>
      <c r="V284" s="191">
        <f t="shared" si="492"/>
        <v>0.42505033963158079</v>
      </c>
      <c r="W284" s="191">
        <f t="shared" si="493"/>
        <v>0.72136480616325716</v>
      </c>
      <c r="X284" s="175">
        <f t="shared" si="494"/>
        <v>350</v>
      </c>
      <c r="Y284" s="386">
        <f t="shared" si="480"/>
        <v>350</v>
      </c>
      <c r="AA284" s="191">
        <f t="shared" si="495"/>
        <v>0.58601117528843016</v>
      </c>
      <c r="AB284" s="153">
        <f t="shared" si="496"/>
        <v>1.7978149633522333</v>
      </c>
      <c r="AC284" s="153">
        <f t="shared" si="497"/>
        <v>0.18436944043440445</v>
      </c>
      <c r="AD284" s="153"/>
      <c r="AE284" s="153">
        <f t="shared" si="498"/>
        <v>0.46018276762402083</v>
      </c>
      <c r="AF284" s="317">
        <f t="shared" si="499"/>
        <v>1970.2316784869981</v>
      </c>
      <c r="AG284" s="463">
        <f t="shared" si="500"/>
        <v>1.2079797650130546E-2</v>
      </c>
      <c r="AI284" s="153">
        <f t="shared" si="501"/>
        <v>0.3558900824129248</v>
      </c>
      <c r="AJ284" s="153">
        <f t="shared" si="502"/>
        <v>0.3558900824129248</v>
      </c>
      <c r="AK284" s="153">
        <f t="shared" si="503"/>
        <v>1.3372600549419498</v>
      </c>
      <c r="AM284" s="317">
        <f t="shared" si="504"/>
        <v>68</v>
      </c>
      <c r="AN284" s="147">
        <f t="shared" si="505"/>
        <v>350</v>
      </c>
      <c r="AP284">
        <f t="shared" si="506"/>
        <v>68</v>
      </c>
      <c r="AQ284">
        <f t="shared" si="507"/>
        <v>350</v>
      </c>
      <c r="AS284" s="5">
        <f t="shared" si="479"/>
        <v>2.8571428571428572</v>
      </c>
      <c r="AT284" s="5">
        <f t="shared" si="508"/>
        <v>0.64333976436182561</v>
      </c>
      <c r="AU284" s="5">
        <f t="shared" si="440"/>
        <v>2.2138030927810317</v>
      </c>
      <c r="AV284" s="5"/>
      <c r="AW284" s="153">
        <f t="shared" si="441"/>
        <v>0.22516891752663895</v>
      </c>
      <c r="AX284" s="153"/>
      <c r="BA284" s="147">
        <f t="shared" si="509"/>
        <v>2.7597754264171033</v>
      </c>
      <c r="BB284" s="147">
        <f t="shared" si="510"/>
        <v>3.6419077741065089</v>
      </c>
      <c r="BC284" s="5">
        <f t="shared" si="442"/>
        <v>0.12866547889667534</v>
      </c>
      <c r="BD284" s="147">
        <f t="shared" si="511"/>
        <v>0</v>
      </c>
      <c r="BQ284" s="463">
        <f t="shared" si="512"/>
        <v>2.5975999999999999E-2</v>
      </c>
      <c r="CG284" s="59">
        <f t="shared" si="513"/>
        <v>-50</v>
      </c>
      <c r="CH284">
        <f t="shared" si="514"/>
        <v>-50</v>
      </c>
    </row>
    <row r="285" spans="5:86" x14ac:dyDescent="0.25">
      <c r="E285" s="150">
        <v>69</v>
      </c>
      <c r="F285" s="191">
        <f t="shared" si="515"/>
        <v>6.8999999999999992E-2</v>
      </c>
      <c r="G285" s="191"/>
      <c r="H285" s="191">
        <f t="shared" si="481"/>
        <v>1.0349999999999999</v>
      </c>
      <c r="I285" s="472">
        <f t="shared" si="482"/>
        <v>26</v>
      </c>
      <c r="J285" s="386">
        <f t="shared" si="483"/>
        <v>15.32</v>
      </c>
      <c r="K285" s="386">
        <f t="shared" si="484"/>
        <v>41.32</v>
      </c>
      <c r="L285" s="386"/>
      <c r="M285" s="191">
        <f t="shared" si="485"/>
        <v>0.37076476282671827</v>
      </c>
      <c r="N285" s="152">
        <f t="shared" si="486"/>
        <v>3.3254522666886368</v>
      </c>
      <c r="O285" s="152">
        <f t="shared" si="478"/>
        <v>1.0349999999999999</v>
      </c>
      <c r="P285" s="191">
        <f t="shared" si="487"/>
        <v>0.22169681777924247</v>
      </c>
      <c r="Q285" s="191">
        <f t="shared" si="488"/>
        <v>15</v>
      </c>
      <c r="R285" s="191"/>
      <c r="S285" s="152">
        <f t="shared" si="489"/>
        <v>101.25582229916213</v>
      </c>
      <c r="T285" s="152">
        <f t="shared" si="490"/>
        <v>15</v>
      </c>
      <c r="U285" s="191">
        <f t="shared" si="491"/>
        <v>0.23859208676441049</v>
      </c>
      <c r="V285" s="191">
        <f t="shared" si="492"/>
        <v>0.43130107992028049</v>
      </c>
      <c r="W285" s="191">
        <f t="shared" si="493"/>
        <v>0.73197311213624627</v>
      </c>
      <c r="X285" s="175">
        <f t="shared" si="494"/>
        <v>350</v>
      </c>
      <c r="Y285" s="386">
        <f t="shared" si="480"/>
        <v>350</v>
      </c>
      <c r="AA285" s="191">
        <f t="shared" si="495"/>
        <v>0.58601117528843016</v>
      </c>
      <c r="AB285" s="153">
        <f t="shared" si="496"/>
        <v>1.7978149633522333</v>
      </c>
      <c r="AC285" s="153">
        <f t="shared" si="497"/>
        <v>0.18436944043440445</v>
      </c>
      <c r="AD285" s="153"/>
      <c r="AE285" s="153">
        <f t="shared" si="498"/>
        <v>0.46018276762402083</v>
      </c>
      <c r="AF285" s="317">
        <f t="shared" si="499"/>
        <v>1999.2056737588655</v>
      </c>
      <c r="AG285" s="463">
        <f t="shared" si="500"/>
        <v>1.2079797650130546E-2</v>
      </c>
      <c r="AI285" s="153">
        <f t="shared" si="501"/>
        <v>0.35849737062026171</v>
      </c>
      <c r="AJ285" s="153">
        <f t="shared" si="502"/>
        <v>0.35849737062026171</v>
      </c>
      <c r="AK285" s="153">
        <f t="shared" si="503"/>
        <v>1.3389982470801745</v>
      </c>
      <c r="AM285" s="317">
        <f t="shared" si="504"/>
        <v>68.999999999999986</v>
      </c>
      <c r="AN285" s="147">
        <f t="shared" si="505"/>
        <v>350</v>
      </c>
      <c r="AP285">
        <f t="shared" si="506"/>
        <v>68.999999999999986</v>
      </c>
      <c r="AQ285">
        <f t="shared" si="507"/>
        <v>350</v>
      </c>
      <c r="AS285" s="5">
        <f t="shared" si="479"/>
        <v>2.8571428571428572</v>
      </c>
      <c r="AT285" s="5">
        <f t="shared" si="508"/>
        <v>0.64805293919816531</v>
      </c>
      <c r="AU285" s="5">
        <f t="shared" si="440"/>
        <v>2.2090899179446919</v>
      </c>
      <c r="AV285" s="5"/>
      <c r="AW285" s="153">
        <f t="shared" si="441"/>
        <v>0.22681852871935784</v>
      </c>
      <c r="AX285" s="153"/>
      <c r="BA285" s="147">
        <f t="shared" si="509"/>
        <v>2.7597754264171033</v>
      </c>
      <c r="BB285" s="147">
        <f t="shared" si="510"/>
        <v>3.746766200804732</v>
      </c>
      <c r="BC285" s="5">
        <f t="shared" si="442"/>
        <v>0.13027966182750747</v>
      </c>
      <c r="BD285" s="147">
        <f t="shared" si="511"/>
        <v>0</v>
      </c>
      <c r="BQ285" s="463">
        <f t="shared" si="512"/>
        <v>2.6357999999999999E-2</v>
      </c>
      <c r="CG285" s="59">
        <f t="shared" si="513"/>
        <v>-50</v>
      </c>
      <c r="CH285">
        <f t="shared" si="514"/>
        <v>-50</v>
      </c>
    </row>
    <row r="286" spans="5:86" x14ac:dyDescent="0.25">
      <c r="E286" s="150">
        <v>70</v>
      </c>
      <c r="F286" s="191">
        <f t="shared" si="515"/>
        <v>6.9999999999999993E-2</v>
      </c>
      <c r="G286" s="191"/>
      <c r="H286" s="191">
        <f t="shared" si="481"/>
        <v>1.0499999999999998</v>
      </c>
      <c r="I286" s="472">
        <f t="shared" si="482"/>
        <v>26</v>
      </c>
      <c r="J286" s="386">
        <f t="shared" si="483"/>
        <v>15.32</v>
      </c>
      <c r="K286" s="386">
        <f t="shared" si="484"/>
        <v>41.32</v>
      </c>
      <c r="L286" s="386"/>
      <c r="M286" s="191">
        <f t="shared" si="485"/>
        <v>0.37076476282671827</v>
      </c>
      <c r="N286" s="152">
        <f t="shared" si="486"/>
        <v>3.3254522666886368</v>
      </c>
      <c r="O286" s="152">
        <f t="shared" si="478"/>
        <v>1.0499999999999998</v>
      </c>
      <c r="P286" s="191">
        <f t="shared" si="487"/>
        <v>0.22169681777924247</v>
      </c>
      <c r="Q286" s="191">
        <f t="shared" si="488"/>
        <v>15</v>
      </c>
      <c r="R286" s="191"/>
      <c r="S286" s="152">
        <f t="shared" si="489"/>
        <v>99.440542563942458</v>
      </c>
      <c r="T286" s="152">
        <f t="shared" si="490"/>
        <v>15</v>
      </c>
      <c r="U286" s="191">
        <f t="shared" si="491"/>
        <v>0.24204994309432945</v>
      </c>
      <c r="V286" s="191">
        <f t="shared" si="492"/>
        <v>0.43755182020898015</v>
      </c>
      <c r="W286" s="191">
        <f t="shared" si="493"/>
        <v>0.74258141810923517</v>
      </c>
      <c r="X286" s="175">
        <f t="shared" si="494"/>
        <v>350</v>
      </c>
      <c r="Y286" s="386">
        <f t="shared" si="480"/>
        <v>350</v>
      </c>
      <c r="AA286" s="191">
        <f t="shared" si="495"/>
        <v>0.58601117528843016</v>
      </c>
      <c r="AB286" s="153">
        <f t="shared" si="496"/>
        <v>1.7978149633522333</v>
      </c>
      <c r="AC286" s="153">
        <f t="shared" si="497"/>
        <v>0.18436944043440445</v>
      </c>
      <c r="AD286" s="153"/>
      <c r="AE286" s="153">
        <f t="shared" si="498"/>
        <v>0.46018276762402083</v>
      </c>
      <c r="AF286" s="317">
        <f t="shared" si="499"/>
        <v>2028.1796690307331</v>
      </c>
      <c r="AG286" s="463">
        <f t="shared" si="500"/>
        <v>1.2079797650130546E-2</v>
      </c>
      <c r="AI286" s="153">
        <f t="shared" si="501"/>
        <v>0.36108583290320911</v>
      </c>
      <c r="AJ286" s="153">
        <f t="shared" si="502"/>
        <v>0.36108583290320911</v>
      </c>
      <c r="AK286" s="153">
        <f t="shared" si="503"/>
        <v>1.3407238886021393</v>
      </c>
      <c r="AM286" s="317">
        <f t="shared" si="504"/>
        <v>69.999999999999986</v>
      </c>
      <c r="AN286" s="147">
        <f t="shared" si="505"/>
        <v>350</v>
      </c>
      <c r="AP286">
        <f t="shared" si="506"/>
        <v>69.999999999999986</v>
      </c>
      <c r="AQ286">
        <f t="shared" si="507"/>
        <v>350</v>
      </c>
      <c r="AS286" s="5">
        <f t="shared" si="479"/>
        <v>2.8571428571428572</v>
      </c>
      <c r="AT286" s="5">
        <f t="shared" si="508"/>
        <v>0.65273208255580106</v>
      </c>
      <c r="AU286" s="5">
        <f t="shared" si="440"/>
        <v>2.204410774587056</v>
      </c>
      <c r="AV286" s="5"/>
      <c r="AW286" s="153">
        <f t="shared" si="441"/>
        <v>0.22845622889453038</v>
      </c>
      <c r="AX286" s="153"/>
      <c r="BA286" s="147">
        <f t="shared" si="509"/>
        <v>2.7597754264171033</v>
      </c>
      <c r="BB286" s="147">
        <f t="shared" si="510"/>
        <v>3.8531116118343185</v>
      </c>
      <c r="BC286" s="5">
        <f t="shared" si="442"/>
        <v>0.13188782412059308</v>
      </c>
      <c r="BD286" s="147">
        <f t="shared" si="511"/>
        <v>0</v>
      </c>
      <c r="BQ286" s="463">
        <f t="shared" si="512"/>
        <v>2.6739999999999996E-2</v>
      </c>
      <c r="CG286" s="59">
        <f t="shared" si="513"/>
        <v>-50</v>
      </c>
      <c r="CH286">
        <f t="shared" si="514"/>
        <v>-50</v>
      </c>
    </row>
    <row r="287" spans="5:86" x14ac:dyDescent="0.25">
      <c r="E287" s="150">
        <v>71</v>
      </c>
      <c r="F287" s="191">
        <f t="shared" si="515"/>
        <v>7.0999999999999994E-2</v>
      </c>
      <c r="G287" s="191"/>
      <c r="H287" s="191">
        <f t="shared" si="481"/>
        <v>1.0649999999999999</v>
      </c>
      <c r="I287" s="472">
        <f t="shared" si="482"/>
        <v>26</v>
      </c>
      <c r="J287" s="386">
        <f t="shared" si="483"/>
        <v>15.32</v>
      </c>
      <c r="K287" s="386">
        <f t="shared" si="484"/>
        <v>41.32</v>
      </c>
      <c r="L287" s="386"/>
      <c r="M287" s="191">
        <f t="shared" si="485"/>
        <v>0.37076476282671827</v>
      </c>
      <c r="N287" s="152">
        <f t="shared" si="486"/>
        <v>3.3254522666886368</v>
      </c>
      <c r="O287" s="152">
        <f t="shared" si="478"/>
        <v>1.0649999999999999</v>
      </c>
      <c r="P287" s="191">
        <f t="shared" si="487"/>
        <v>0.22169681777924247</v>
      </c>
      <c r="Q287" s="191">
        <f t="shared" si="488"/>
        <v>15</v>
      </c>
      <c r="R287" s="191"/>
      <c r="S287" s="152">
        <f t="shared" si="489"/>
        <v>97.676450330168947</v>
      </c>
      <c r="T287" s="152">
        <f t="shared" si="490"/>
        <v>15</v>
      </c>
      <c r="U287" s="191">
        <f t="shared" si="491"/>
        <v>0.24550779942424847</v>
      </c>
      <c r="V287" s="191">
        <f t="shared" si="492"/>
        <v>0.44380256049767997</v>
      </c>
      <c r="W287" s="191">
        <f t="shared" si="493"/>
        <v>0.7531897240822244</v>
      </c>
      <c r="X287" s="175">
        <f t="shared" si="494"/>
        <v>350</v>
      </c>
      <c r="Y287" s="386">
        <f t="shared" si="480"/>
        <v>350</v>
      </c>
      <c r="AA287" s="191">
        <f t="shared" si="495"/>
        <v>0.58601117528843016</v>
      </c>
      <c r="AB287" s="153">
        <f t="shared" si="496"/>
        <v>1.7978149633522333</v>
      </c>
      <c r="AC287" s="153">
        <f t="shared" si="497"/>
        <v>0.18436944043440445</v>
      </c>
      <c r="AD287" s="153"/>
      <c r="AE287" s="153">
        <f t="shared" si="498"/>
        <v>0.46018276762402083</v>
      </c>
      <c r="AF287" s="317">
        <f t="shared" si="499"/>
        <v>2057.1536643026006</v>
      </c>
      <c r="AG287" s="463">
        <f t="shared" si="500"/>
        <v>1.2079797650130546E-2</v>
      </c>
      <c r="AI287" s="153">
        <f t="shared" si="501"/>
        <v>0.36365587126453375</v>
      </c>
      <c r="AJ287" s="153">
        <f t="shared" si="502"/>
        <v>0.36365587126453375</v>
      </c>
      <c r="AK287" s="153">
        <f t="shared" si="503"/>
        <v>1.3424372475096891</v>
      </c>
      <c r="AM287" s="317">
        <f t="shared" si="504"/>
        <v>71</v>
      </c>
      <c r="AN287" s="147">
        <f t="shared" si="505"/>
        <v>350</v>
      </c>
      <c r="AP287">
        <f t="shared" si="506"/>
        <v>71</v>
      </c>
      <c r="AQ287">
        <f t="shared" si="507"/>
        <v>350</v>
      </c>
      <c r="AS287" s="5">
        <f t="shared" si="479"/>
        <v>2.8571428571428572</v>
      </c>
      <c r="AT287" s="5">
        <f t="shared" si="508"/>
        <v>0.65737792113204174</v>
      </c>
      <c r="AU287" s="5">
        <f t="shared" si="440"/>
        <v>2.1997649360108156</v>
      </c>
      <c r="AV287" s="5"/>
      <c r="AW287" s="153">
        <f t="shared" si="441"/>
        <v>0.23008227239621459</v>
      </c>
      <c r="AX287" s="153"/>
      <c r="BA287" s="147">
        <f t="shared" si="509"/>
        <v>2.7597754264171033</v>
      </c>
      <c r="BB287" s="147">
        <f t="shared" si="510"/>
        <v>3.9609440071952657</v>
      </c>
      <c r="BC287" s="5">
        <f t="shared" si="442"/>
        <v>0.13349000893740845</v>
      </c>
      <c r="BD287" s="147">
        <f t="shared" si="511"/>
        <v>0</v>
      </c>
      <c r="BQ287" s="463">
        <f t="shared" si="512"/>
        <v>2.7121999999999997E-2</v>
      </c>
      <c r="CG287" s="59">
        <f t="shared" si="513"/>
        <v>-50</v>
      </c>
      <c r="CH287">
        <f t="shared" si="514"/>
        <v>-50</v>
      </c>
    </row>
    <row r="288" spans="5:86" x14ac:dyDescent="0.25">
      <c r="E288" s="150">
        <v>72</v>
      </c>
      <c r="F288" s="191">
        <f t="shared" si="515"/>
        <v>7.1999999999999995E-2</v>
      </c>
      <c r="G288" s="191"/>
      <c r="H288" s="191">
        <f t="shared" si="481"/>
        <v>1.0799999999999998</v>
      </c>
      <c r="I288" s="472">
        <f t="shared" si="482"/>
        <v>26</v>
      </c>
      <c r="J288" s="386">
        <f t="shared" si="483"/>
        <v>15.32</v>
      </c>
      <c r="K288" s="386">
        <f t="shared" si="484"/>
        <v>41.32</v>
      </c>
      <c r="L288" s="386"/>
      <c r="M288" s="191">
        <f t="shared" si="485"/>
        <v>0.37076476282671827</v>
      </c>
      <c r="N288" s="152">
        <f t="shared" si="486"/>
        <v>3.3254522666886368</v>
      </c>
      <c r="O288" s="152">
        <f t="shared" si="478"/>
        <v>1.0799999999999998</v>
      </c>
      <c r="P288" s="191">
        <f t="shared" si="487"/>
        <v>0.22169681777924247</v>
      </c>
      <c r="Q288" s="191">
        <f t="shared" si="488"/>
        <v>15</v>
      </c>
      <c r="R288" s="191"/>
      <c r="S288" s="152">
        <f t="shared" si="489"/>
        <v>95.961413355496589</v>
      </c>
      <c r="T288" s="152">
        <f t="shared" si="490"/>
        <v>15</v>
      </c>
      <c r="U288" s="191">
        <f t="shared" si="491"/>
        <v>0.24896565575416746</v>
      </c>
      <c r="V288" s="191">
        <f t="shared" si="492"/>
        <v>0.45005330078637967</v>
      </c>
      <c r="W288" s="191">
        <f t="shared" si="493"/>
        <v>0.76379803005521352</v>
      </c>
      <c r="X288" s="175">
        <f t="shared" si="494"/>
        <v>350</v>
      </c>
      <c r="Y288" s="386">
        <f t="shared" si="480"/>
        <v>350</v>
      </c>
      <c r="AA288" s="191">
        <f t="shared" si="495"/>
        <v>0.58601117528843016</v>
      </c>
      <c r="AB288" s="153">
        <f t="shared" si="496"/>
        <v>1.7978149633522333</v>
      </c>
      <c r="AC288" s="153">
        <f t="shared" si="497"/>
        <v>0.18436944043440445</v>
      </c>
      <c r="AD288" s="153"/>
      <c r="AE288" s="153">
        <f t="shared" si="498"/>
        <v>0.46018276762402083</v>
      </c>
      <c r="AF288" s="317">
        <f t="shared" si="499"/>
        <v>2086.1276595744685</v>
      </c>
      <c r="AG288" s="463">
        <f t="shared" si="500"/>
        <v>1.2079797650130546E-2</v>
      </c>
      <c r="AI288" s="153">
        <f t="shared" si="501"/>
        <v>0.3662078736004048</v>
      </c>
      <c r="AJ288" s="153">
        <f t="shared" si="502"/>
        <v>0.3662078736004048</v>
      </c>
      <c r="AK288" s="153">
        <f t="shared" si="503"/>
        <v>1.3441385824002698</v>
      </c>
      <c r="AM288" s="317">
        <f t="shared" si="504"/>
        <v>72</v>
      </c>
      <c r="AN288" s="147">
        <f t="shared" si="505"/>
        <v>350</v>
      </c>
      <c r="AP288">
        <f t="shared" si="506"/>
        <v>72</v>
      </c>
      <c r="AQ288">
        <f t="shared" si="507"/>
        <v>350</v>
      </c>
      <c r="AS288" s="5">
        <f t="shared" si="479"/>
        <v>2.8571428571428572</v>
      </c>
      <c r="AT288" s="5">
        <f t="shared" si="508"/>
        <v>0.66199115612380866</v>
      </c>
      <c r="AU288" s="5">
        <f t="shared" si="440"/>
        <v>2.1951517010190487</v>
      </c>
      <c r="AV288" s="5"/>
      <c r="AW288" s="153">
        <f t="shared" si="441"/>
        <v>0.23169690464333303</v>
      </c>
      <c r="AX288" s="153"/>
      <c r="BA288" s="147">
        <f t="shared" si="509"/>
        <v>2.7597754264171033</v>
      </c>
      <c r="BB288" s="147">
        <f t="shared" si="510"/>
        <v>4.0702633868875724</v>
      </c>
      <c r="BC288" s="5">
        <f t="shared" si="442"/>
        <v>0.13508625852424913</v>
      </c>
      <c r="BD288" s="147">
        <f t="shared" si="511"/>
        <v>0</v>
      </c>
      <c r="BQ288" s="463">
        <f t="shared" si="512"/>
        <v>2.7503999999999997E-2</v>
      </c>
      <c r="CG288" s="59">
        <f t="shared" si="513"/>
        <v>-50</v>
      </c>
      <c r="CH288">
        <f t="shared" si="514"/>
        <v>-50</v>
      </c>
    </row>
    <row r="289" spans="5:86" x14ac:dyDescent="0.25">
      <c r="E289" s="150">
        <v>73</v>
      </c>
      <c r="F289" s="191">
        <f t="shared" si="515"/>
        <v>7.2999999999999995E-2</v>
      </c>
      <c r="G289" s="191"/>
      <c r="H289" s="191">
        <f t="shared" si="481"/>
        <v>1.095</v>
      </c>
      <c r="I289" s="472">
        <f t="shared" si="482"/>
        <v>26</v>
      </c>
      <c r="J289" s="386">
        <f t="shared" si="483"/>
        <v>15.32</v>
      </c>
      <c r="K289" s="386">
        <f t="shared" si="484"/>
        <v>41.32</v>
      </c>
      <c r="L289" s="386"/>
      <c r="M289" s="191">
        <f t="shared" si="485"/>
        <v>0.37076476282671827</v>
      </c>
      <c r="N289" s="152">
        <f t="shared" si="486"/>
        <v>3.3254522666886368</v>
      </c>
      <c r="O289" s="152">
        <f t="shared" si="478"/>
        <v>1.095</v>
      </c>
      <c r="P289" s="191">
        <f t="shared" si="487"/>
        <v>0.22169681777924247</v>
      </c>
      <c r="Q289" s="191">
        <f t="shared" si="488"/>
        <v>15</v>
      </c>
      <c r="R289" s="191"/>
      <c r="S289" s="152">
        <f t="shared" si="489"/>
        <v>94.293416240837715</v>
      </c>
      <c r="T289" s="152">
        <f t="shared" si="490"/>
        <v>15</v>
      </c>
      <c r="U289" s="191">
        <f t="shared" si="491"/>
        <v>0.25242351208408648</v>
      </c>
      <c r="V289" s="191">
        <f t="shared" si="492"/>
        <v>0.45630404107507933</v>
      </c>
      <c r="W289" s="191">
        <f t="shared" si="493"/>
        <v>0.77440633602820252</v>
      </c>
      <c r="X289" s="175">
        <f t="shared" si="494"/>
        <v>350</v>
      </c>
      <c r="Y289" s="386">
        <f t="shared" si="480"/>
        <v>350</v>
      </c>
      <c r="AA289" s="191">
        <f t="shared" si="495"/>
        <v>0.58601117528843016</v>
      </c>
      <c r="AB289" s="153">
        <f t="shared" si="496"/>
        <v>1.7978149633522333</v>
      </c>
      <c r="AC289" s="153">
        <f t="shared" si="497"/>
        <v>0.18436944043440445</v>
      </c>
      <c r="AD289" s="153"/>
      <c r="AE289" s="153">
        <f t="shared" si="498"/>
        <v>0.46018276762402083</v>
      </c>
      <c r="AF289" s="317">
        <f t="shared" si="499"/>
        <v>2115.1016548463363</v>
      </c>
      <c r="AG289" s="463">
        <f t="shared" si="500"/>
        <v>1.2079797650130546E-2</v>
      </c>
      <c r="AI289" s="153">
        <f t="shared" si="501"/>
        <v>0.36874221438383342</v>
      </c>
      <c r="AJ289" s="153">
        <f t="shared" si="502"/>
        <v>0.36874221438383342</v>
      </c>
      <c r="AK289" s="153">
        <f t="shared" si="503"/>
        <v>1.3458281429225556</v>
      </c>
      <c r="AM289" s="317">
        <f t="shared" si="504"/>
        <v>73</v>
      </c>
      <c r="AN289" s="147">
        <f t="shared" si="505"/>
        <v>350</v>
      </c>
      <c r="AP289">
        <f t="shared" si="506"/>
        <v>73</v>
      </c>
      <c r="AQ289">
        <f t="shared" si="507"/>
        <v>350</v>
      </c>
      <c r="AS289" s="5">
        <f t="shared" si="479"/>
        <v>2.8571428571428572</v>
      </c>
      <c r="AT289" s="5">
        <f t="shared" si="508"/>
        <v>0.66657246446308349</v>
      </c>
      <c r="AU289" s="5">
        <f t="shared" si="440"/>
        <v>2.1905703926797737</v>
      </c>
      <c r="AV289" s="5"/>
      <c r="AW289" s="153">
        <f t="shared" si="441"/>
        <v>0.23330036256207923</v>
      </c>
      <c r="AX289" s="153"/>
      <c r="BA289" s="147">
        <f t="shared" si="509"/>
        <v>2.7597754264171033</v>
      </c>
      <c r="BB289" s="147">
        <f t="shared" si="510"/>
        <v>4.1810697509112416</v>
      </c>
      <c r="BC289" s="5">
        <f t="shared" si="442"/>
        <v>0.13667661424412261</v>
      </c>
      <c r="BD289" s="147">
        <f t="shared" si="511"/>
        <v>0</v>
      </c>
      <c r="BQ289" s="463">
        <f t="shared" si="512"/>
        <v>2.7885999999999998E-2</v>
      </c>
      <c r="CG289" s="59">
        <f t="shared" si="513"/>
        <v>-50</v>
      </c>
      <c r="CH289">
        <f t="shared" si="514"/>
        <v>-50</v>
      </c>
    </row>
    <row r="290" spans="5:86" x14ac:dyDescent="0.25">
      <c r="E290" s="150">
        <v>74</v>
      </c>
      <c r="F290" s="191">
        <f t="shared" si="515"/>
        <v>7.3999999999999996E-2</v>
      </c>
      <c r="G290" s="191"/>
      <c r="H290" s="191">
        <f t="shared" si="481"/>
        <v>1.1099999999999999</v>
      </c>
      <c r="I290" s="472">
        <f t="shared" si="482"/>
        <v>26</v>
      </c>
      <c r="J290" s="386">
        <f t="shared" si="483"/>
        <v>15.32</v>
      </c>
      <c r="K290" s="386">
        <f t="shared" si="484"/>
        <v>41.32</v>
      </c>
      <c r="L290" s="386"/>
      <c r="M290" s="191">
        <f t="shared" si="485"/>
        <v>0.37076476282671827</v>
      </c>
      <c r="N290" s="152">
        <f t="shared" si="486"/>
        <v>3.3254522666886368</v>
      </c>
      <c r="O290" s="152">
        <f t="shared" si="478"/>
        <v>1.1099999999999999</v>
      </c>
      <c r="P290" s="191">
        <f t="shared" si="487"/>
        <v>0.22169681777924247</v>
      </c>
      <c r="Q290" s="191">
        <f t="shared" si="488"/>
        <v>15</v>
      </c>
      <c r="R290" s="191"/>
      <c r="S290" s="152">
        <f t="shared" si="489"/>
        <v>92.670552535687278</v>
      </c>
      <c r="T290" s="152">
        <f t="shared" si="490"/>
        <v>15</v>
      </c>
      <c r="U290" s="191">
        <f t="shared" si="491"/>
        <v>0.25588136841400544</v>
      </c>
      <c r="V290" s="191">
        <f t="shared" si="492"/>
        <v>0.46255478136377898</v>
      </c>
      <c r="W290" s="191">
        <f t="shared" si="493"/>
        <v>0.78501464200119153</v>
      </c>
      <c r="X290" s="175">
        <f t="shared" si="494"/>
        <v>350</v>
      </c>
      <c r="Y290" s="386">
        <f t="shared" si="480"/>
        <v>350</v>
      </c>
      <c r="AA290" s="191">
        <f t="shared" si="495"/>
        <v>0.58601117528843016</v>
      </c>
      <c r="AB290" s="153">
        <f t="shared" si="496"/>
        <v>1.7978149633522333</v>
      </c>
      <c r="AC290" s="153">
        <f t="shared" si="497"/>
        <v>0.18436944043440445</v>
      </c>
      <c r="AD290" s="153"/>
      <c r="AE290" s="153">
        <f t="shared" si="498"/>
        <v>0.46018276762402083</v>
      </c>
      <c r="AF290" s="317">
        <f t="shared" si="499"/>
        <v>2144.0756501182036</v>
      </c>
      <c r="AG290" s="463">
        <f t="shared" si="500"/>
        <v>1.2079797650130546E-2</v>
      </c>
      <c r="AI290" s="153">
        <f t="shared" si="501"/>
        <v>0.37125925530612153</v>
      </c>
      <c r="AJ290" s="153">
        <f t="shared" si="502"/>
        <v>0.37125925530612153</v>
      </c>
      <c r="AK290" s="153">
        <f t="shared" si="503"/>
        <v>1.3475061702040809</v>
      </c>
      <c r="AM290" s="317">
        <f t="shared" si="504"/>
        <v>74</v>
      </c>
      <c r="AN290" s="147">
        <f t="shared" si="505"/>
        <v>350</v>
      </c>
      <c r="AP290">
        <f t="shared" si="506"/>
        <v>74</v>
      </c>
      <c r="AQ290">
        <f t="shared" si="507"/>
        <v>350</v>
      </c>
      <c r="AS290" s="5">
        <f t="shared" si="479"/>
        <v>2.8571428571428572</v>
      </c>
      <c r="AT290" s="5">
        <f t="shared" si="508"/>
        <v>0.67112249997645046</v>
      </c>
      <c r="AU290" s="5">
        <f t="shared" si="440"/>
        <v>2.1860203571664067</v>
      </c>
      <c r="AV290" s="5"/>
      <c r="AW290" s="153">
        <f t="shared" si="441"/>
        <v>0.23489287499175765</v>
      </c>
      <c r="AX290" s="153"/>
      <c r="BA290" s="147">
        <f t="shared" si="509"/>
        <v>2.7597754264171033</v>
      </c>
      <c r="BB290" s="147">
        <f t="shared" si="510"/>
        <v>4.293363099266271</v>
      </c>
      <c r="BC290" s="5">
        <f t="shared" si="442"/>
        <v>0.13826111660710605</v>
      </c>
      <c r="BD290" s="147">
        <f t="shared" si="511"/>
        <v>0</v>
      </c>
      <c r="BQ290" s="463">
        <f t="shared" si="512"/>
        <v>2.8268000000000001E-2</v>
      </c>
      <c r="CG290" s="59">
        <f t="shared" si="513"/>
        <v>-50</v>
      </c>
      <c r="CH290">
        <f t="shared" si="514"/>
        <v>-50</v>
      </c>
    </row>
    <row r="291" spans="5:86" x14ac:dyDescent="0.25">
      <c r="E291" s="150">
        <v>75</v>
      </c>
      <c r="F291" s="191">
        <f t="shared" si="515"/>
        <v>7.5000000000000011E-2</v>
      </c>
      <c r="G291" s="191"/>
      <c r="H291" s="191">
        <f t="shared" si="481"/>
        <v>1.1250000000000002</v>
      </c>
      <c r="I291" s="472">
        <f t="shared" si="482"/>
        <v>26</v>
      </c>
      <c r="J291" s="386">
        <f t="shared" si="483"/>
        <v>15.32</v>
      </c>
      <c r="K291" s="386">
        <f t="shared" si="484"/>
        <v>41.32</v>
      </c>
      <c r="L291" s="386"/>
      <c r="M291" s="191">
        <f t="shared" si="485"/>
        <v>0.37076476282671827</v>
      </c>
      <c r="N291" s="152">
        <f t="shared" si="486"/>
        <v>3.3254522666886368</v>
      </c>
      <c r="O291" s="152">
        <f t="shared" si="478"/>
        <v>1.1250000000000002</v>
      </c>
      <c r="P291" s="191">
        <f t="shared" si="487"/>
        <v>0.22169681777924247</v>
      </c>
      <c r="Q291" s="191">
        <f t="shared" si="488"/>
        <v>15</v>
      </c>
      <c r="R291" s="191"/>
      <c r="S291" s="152">
        <f t="shared" si="489"/>
        <v>91.091017475024515</v>
      </c>
      <c r="T291" s="152">
        <f t="shared" si="490"/>
        <v>15</v>
      </c>
      <c r="U291" s="191">
        <f t="shared" si="491"/>
        <v>0.25933922474392451</v>
      </c>
      <c r="V291" s="191">
        <f t="shared" si="492"/>
        <v>0.46880552165247891</v>
      </c>
      <c r="W291" s="191">
        <f t="shared" si="493"/>
        <v>0.79562294797418087</v>
      </c>
      <c r="X291" s="175">
        <f t="shared" si="494"/>
        <v>350</v>
      </c>
      <c r="Y291" s="386">
        <f t="shared" si="480"/>
        <v>350</v>
      </c>
      <c r="AA291" s="191">
        <f t="shared" si="495"/>
        <v>0.58601117528843016</v>
      </c>
      <c r="AB291" s="153">
        <f t="shared" si="496"/>
        <v>1.7978149633522333</v>
      </c>
      <c r="AC291" s="153">
        <f t="shared" si="497"/>
        <v>0.18436944043440445</v>
      </c>
      <c r="AD291" s="153"/>
      <c r="AE291" s="153">
        <f t="shared" si="498"/>
        <v>0.46018276762402083</v>
      </c>
      <c r="AF291" s="317">
        <f t="shared" si="499"/>
        <v>2173.0496453900719</v>
      </c>
      <c r="AG291" s="463">
        <f t="shared" si="500"/>
        <v>1.2079797650130546E-2</v>
      </c>
      <c r="AI291" s="153">
        <f t="shared" si="501"/>
        <v>0.37375934587942927</v>
      </c>
      <c r="AJ291" s="153">
        <f t="shared" si="502"/>
        <v>0.37375934587942927</v>
      </c>
      <c r="AK291" s="153">
        <f t="shared" si="503"/>
        <v>1.3491728972529529</v>
      </c>
      <c r="AM291" s="317">
        <f t="shared" si="504"/>
        <v>75.000000000000014</v>
      </c>
      <c r="AN291" s="147">
        <f t="shared" si="505"/>
        <v>350</v>
      </c>
      <c r="AP291">
        <f t="shared" si="506"/>
        <v>75.000000000000014</v>
      </c>
      <c r="AQ291">
        <f t="shared" si="507"/>
        <v>350</v>
      </c>
      <c r="AS291" s="5">
        <f t="shared" si="479"/>
        <v>2.8571428571428572</v>
      </c>
      <c r="AT291" s="5">
        <f t="shared" si="508"/>
        <v>0.67564189447435297</v>
      </c>
      <c r="AU291" s="5">
        <f t="shared" si="440"/>
        <v>2.1815009626685042</v>
      </c>
      <c r="AV291" s="5"/>
      <c r="AW291" s="153">
        <f t="shared" si="441"/>
        <v>0.23647466306602352</v>
      </c>
      <c r="AX291" s="153"/>
      <c r="BA291" s="147">
        <f t="shared" si="509"/>
        <v>2.7597754264171033</v>
      </c>
      <c r="BB291" s="147">
        <f t="shared" si="510"/>
        <v>4.4071434319526634</v>
      </c>
      <c r="BC291" s="5">
        <f t="shared" si="442"/>
        <v>0.13983980529926313</v>
      </c>
      <c r="BD291" s="147">
        <f t="shared" si="511"/>
        <v>0</v>
      </c>
      <c r="BQ291" s="463">
        <f t="shared" si="512"/>
        <v>2.8650000000000005E-2</v>
      </c>
      <c r="CG291" s="59">
        <f t="shared" si="513"/>
        <v>-50</v>
      </c>
      <c r="CH291">
        <f t="shared" si="514"/>
        <v>-50</v>
      </c>
    </row>
    <row r="292" spans="5:86" x14ac:dyDescent="0.25">
      <c r="E292" s="150">
        <v>76</v>
      </c>
      <c r="F292" s="191">
        <f t="shared" si="515"/>
        <v>7.6000000000000012E-2</v>
      </c>
      <c r="G292" s="191"/>
      <c r="H292" s="191">
        <f t="shared" si="481"/>
        <v>1.1400000000000001</v>
      </c>
      <c r="I292" s="472">
        <f t="shared" si="482"/>
        <v>26</v>
      </c>
      <c r="J292" s="386">
        <f t="shared" si="483"/>
        <v>15.32</v>
      </c>
      <c r="K292" s="386">
        <f t="shared" si="484"/>
        <v>41.32</v>
      </c>
      <c r="L292" s="386"/>
      <c r="M292" s="191">
        <f t="shared" si="485"/>
        <v>0.37076476282671827</v>
      </c>
      <c r="N292" s="152">
        <f t="shared" si="486"/>
        <v>3.3254522666886368</v>
      </c>
      <c r="O292" s="152">
        <f t="shared" si="478"/>
        <v>1.1400000000000001</v>
      </c>
      <c r="P292" s="191">
        <f t="shared" si="487"/>
        <v>0.22169681777924247</v>
      </c>
      <c r="Q292" s="191">
        <f t="shared" si="488"/>
        <v>15</v>
      </c>
      <c r="R292" s="191"/>
      <c r="S292" s="152">
        <f t="shared" si="489"/>
        <v>89.553101289620471</v>
      </c>
      <c r="T292" s="152">
        <f t="shared" si="490"/>
        <v>15</v>
      </c>
      <c r="U292" s="191">
        <f t="shared" si="491"/>
        <v>0.26279708107384347</v>
      </c>
      <c r="V292" s="191">
        <f t="shared" si="492"/>
        <v>0.47505626194117856</v>
      </c>
      <c r="W292" s="191">
        <f t="shared" si="493"/>
        <v>0.80623125394716988</v>
      </c>
      <c r="X292" s="175">
        <f t="shared" si="494"/>
        <v>350</v>
      </c>
      <c r="Y292" s="386">
        <f t="shared" si="480"/>
        <v>350</v>
      </c>
      <c r="AA292" s="191">
        <f t="shared" si="495"/>
        <v>0.58601117528843016</v>
      </c>
      <c r="AB292" s="153">
        <f t="shared" si="496"/>
        <v>1.7978149633522333</v>
      </c>
      <c r="AC292" s="153">
        <f t="shared" si="497"/>
        <v>0.18436944043440445</v>
      </c>
      <c r="AD292" s="153"/>
      <c r="AE292" s="153">
        <f t="shared" si="498"/>
        <v>0.46018276762402083</v>
      </c>
      <c r="AF292" s="317">
        <f t="shared" si="499"/>
        <v>2202.0236406619397</v>
      </c>
      <c r="AG292" s="463">
        <f t="shared" si="500"/>
        <v>1.2079797650130546E-2</v>
      </c>
      <c r="AI292" s="153">
        <f t="shared" si="501"/>
        <v>0.37624282400330478</v>
      </c>
      <c r="AJ292" s="153">
        <f t="shared" si="502"/>
        <v>0.37624282400330478</v>
      </c>
      <c r="AK292" s="153">
        <f t="shared" si="503"/>
        <v>1.3508285493355365</v>
      </c>
      <c r="AM292" s="317">
        <f t="shared" si="504"/>
        <v>76.000000000000014</v>
      </c>
      <c r="AN292" s="147">
        <f t="shared" si="505"/>
        <v>350</v>
      </c>
      <c r="AP292">
        <f t="shared" si="506"/>
        <v>76.000000000000014</v>
      </c>
      <c r="AQ292">
        <f t="shared" si="507"/>
        <v>350</v>
      </c>
      <c r="AS292" s="5">
        <f t="shared" si="479"/>
        <v>2.8571428571428572</v>
      </c>
      <c r="AT292" s="5">
        <f t="shared" si="508"/>
        <v>0.68013125877520475</v>
      </c>
      <c r="AU292" s="5">
        <f t="shared" si="440"/>
        <v>2.1770115983676526</v>
      </c>
      <c r="AV292" s="5"/>
      <c r="AW292" s="153">
        <f t="shared" si="441"/>
        <v>0.23804594057132167</v>
      </c>
      <c r="AX292" s="153"/>
      <c r="BA292" s="147">
        <f t="shared" si="509"/>
        <v>2.7597754264171033</v>
      </c>
      <c r="BB292" s="147">
        <f t="shared" si="510"/>
        <v>4.5224107489704144</v>
      </c>
      <c r="BC292" s="5">
        <f t="shared" si="442"/>
        <v>0.14141271921020651</v>
      </c>
      <c r="BD292" s="147">
        <f t="shared" si="511"/>
        <v>0</v>
      </c>
      <c r="BQ292" s="463">
        <f t="shared" si="512"/>
        <v>2.9032000000000006E-2</v>
      </c>
      <c r="CG292" s="59">
        <f t="shared" si="513"/>
        <v>-50</v>
      </c>
      <c r="CH292">
        <f t="shared" si="514"/>
        <v>-50</v>
      </c>
    </row>
    <row r="293" spans="5:86" x14ac:dyDescent="0.25">
      <c r="E293" s="150">
        <v>77</v>
      </c>
      <c r="F293" s="191">
        <f t="shared" si="515"/>
        <v>7.7000000000000013E-2</v>
      </c>
      <c r="G293" s="191"/>
      <c r="H293" s="191">
        <f t="shared" si="481"/>
        <v>1.1550000000000002</v>
      </c>
      <c r="I293" s="472">
        <f t="shared" si="482"/>
        <v>26</v>
      </c>
      <c r="J293" s="386">
        <f t="shared" si="483"/>
        <v>15.32</v>
      </c>
      <c r="K293" s="386">
        <f t="shared" si="484"/>
        <v>41.32</v>
      </c>
      <c r="L293" s="386"/>
      <c r="M293" s="191">
        <f t="shared" si="485"/>
        <v>0.37076476282671827</v>
      </c>
      <c r="N293" s="152">
        <f t="shared" si="486"/>
        <v>3.3254522666886368</v>
      </c>
      <c r="O293" s="152">
        <f t="shared" si="478"/>
        <v>1.1550000000000002</v>
      </c>
      <c r="P293" s="191">
        <f t="shared" si="487"/>
        <v>0.22169681777924247</v>
      </c>
      <c r="Q293" s="191">
        <f t="shared" si="488"/>
        <v>15</v>
      </c>
      <c r="R293" s="191"/>
      <c r="S293" s="152">
        <f t="shared" si="489"/>
        <v>88.05518303762274</v>
      </c>
      <c r="T293" s="152">
        <f t="shared" si="490"/>
        <v>15</v>
      </c>
      <c r="U293" s="191">
        <f t="shared" si="491"/>
        <v>0.26625493740376249</v>
      </c>
      <c r="V293" s="191">
        <f t="shared" si="492"/>
        <v>0.48130700222987832</v>
      </c>
      <c r="W293" s="191">
        <f t="shared" si="493"/>
        <v>0.81683955992015911</v>
      </c>
      <c r="X293" s="175">
        <f t="shared" si="494"/>
        <v>350</v>
      </c>
      <c r="Y293" s="386">
        <f t="shared" si="480"/>
        <v>350</v>
      </c>
      <c r="AA293" s="191">
        <f t="shared" si="495"/>
        <v>0.58601117528843016</v>
      </c>
      <c r="AB293" s="153">
        <f t="shared" si="496"/>
        <v>1.7978149633522333</v>
      </c>
      <c r="AC293" s="153">
        <f t="shared" si="497"/>
        <v>0.18436944043440445</v>
      </c>
      <c r="AD293" s="153"/>
      <c r="AE293" s="153">
        <f t="shared" si="498"/>
        <v>0.46018276762402083</v>
      </c>
      <c r="AF293" s="317">
        <f t="shared" si="499"/>
        <v>2230.997635933807</v>
      </c>
      <c r="AG293" s="463">
        <f t="shared" si="500"/>
        <v>1.2079797650130546E-2</v>
      </c>
      <c r="AI293" s="153">
        <f t="shared" si="501"/>
        <v>0.37871001649777458</v>
      </c>
      <c r="AJ293" s="153">
        <f t="shared" si="502"/>
        <v>0.37871001649777458</v>
      </c>
      <c r="AK293" s="153">
        <f t="shared" si="503"/>
        <v>1.3524733443318497</v>
      </c>
      <c r="AM293" s="317">
        <f t="shared" si="504"/>
        <v>77.000000000000014</v>
      </c>
      <c r="AN293" s="147">
        <f t="shared" si="505"/>
        <v>350</v>
      </c>
      <c r="AP293">
        <f t="shared" si="506"/>
        <v>77.000000000000014</v>
      </c>
      <c r="AQ293">
        <f t="shared" si="507"/>
        <v>350</v>
      </c>
      <c r="AS293" s="5">
        <f t="shared" si="479"/>
        <v>2.8571428571428572</v>
      </c>
      <c r="AT293" s="5">
        <f t="shared" si="508"/>
        <v>0.68459118366905403</v>
      </c>
      <c r="AU293" s="5">
        <f t="shared" si="440"/>
        <v>2.1725516734738033</v>
      </c>
      <c r="AV293" s="5"/>
      <c r="AW293" s="153">
        <f t="shared" si="441"/>
        <v>0.23960691428416891</v>
      </c>
      <c r="AX293" s="153"/>
      <c r="BA293" s="147">
        <f t="shared" si="509"/>
        <v>2.7597754264171033</v>
      </c>
      <c r="BB293" s="147">
        <f t="shared" si="510"/>
        <v>4.6391650503195274</v>
      </c>
      <c r="BC293" s="5">
        <f t="shared" si="442"/>
        <v>0.14297989645938711</v>
      </c>
      <c r="BD293" s="147">
        <f t="shared" si="511"/>
        <v>0</v>
      </c>
      <c r="BQ293" s="463">
        <f t="shared" si="512"/>
        <v>2.9414000000000006E-2</v>
      </c>
      <c r="CG293" s="59">
        <f t="shared" si="513"/>
        <v>-50</v>
      </c>
      <c r="CH293">
        <f t="shared" si="514"/>
        <v>-50</v>
      </c>
    </row>
    <row r="294" spans="5:86" x14ac:dyDescent="0.25">
      <c r="E294" s="150">
        <v>78</v>
      </c>
      <c r="F294" s="191">
        <f t="shared" si="515"/>
        <v>7.8000000000000014E-2</v>
      </c>
      <c r="G294" s="191"/>
      <c r="H294" s="191">
        <f t="shared" si="481"/>
        <v>1.1700000000000002</v>
      </c>
      <c r="I294" s="472">
        <f t="shared" si="482"/>
        <v>26</v>
      </c>
      <c r="J294" s="386">
        <f t="shared" si="483"/>
        <v>15.32</v>
      </c>
      <c r="K294" s="386">
        <f t="shared" si="484"/>
        <v>41.32</v>
      </c>
      <c r="L294" s="386"/>
      <c r="M294" s="191">
        <f t="shared" si="485"/>
        <v>0.37076476282671827</v>
      </c>
      <c r="N294" s="152">
        <f t="shared" si="486"/>
        <v>3.3254522666886368</v>
      </c>
      <c r="O294" s="152">
        <f t="shared" si="478"/>
        <v>1.1700000000000002</v>
      </c>
      <c r="P294" s="191">
        <f t="shared" si="487"/>
        <v>0.22169681777924247</v>
      </c>
      <c r="Q294" s="191">
        <f t="shared" si="488"/>
        <v>15</v>
      </c>
      <c r="R294" s="191"/>
      <c r="S294" s="152">
        <f t="shared" si="489"/>
        <v>86.595724910636747</v>
      </c>
      <c r="T294" s="152">
        <f t="shared" si="490"/>
        <v>15</v>
      </c>
      <c r="U294" s="191">
        <f t="shared" si="491"/>
        <v>0.26971279373368146</v>
      </c>
      <c r="V294" s="191">
        <f t="shared" si="492"/>
        <v>0.48755774251857792</v>
      </c>
      <c r="W294" s="191">
        <f t="shared" si="493"/>
        <v>0.827447865893148</v>
      </c>
      <c r="X294" s="175">
        <f t="shared" si="494"/>
        <v>350</v>
      </c>
      <c r="Y294" s="386">
        <f t="shared" si="480"/>
        <v>350</v>
      </c>
      <c r="AA294" s="191">
        <f t="shared" si="495"/>
        <v>0.58601117528843016</v>
      </c>
      <c r="AB294" s="153">
        <f t="shared" si="496"/>
        <v>1.7978149633522333</v>
      </c>
      <c r="AC294" s="153">
        <f t="shared" si="497"/>
        <v>0.18436944043440445</v>
      </c>
      <c r="AD294" s="153"/>
      <c r="AE294" s="153">
        <f t="shared" si="498"/>
        <v>0.46018276762402083</v>
      </c>
      <c r="AF294" s="317">
        <f t="shared" si="499"/>
        <v>2259.9716312056748</v>
      </c>
      <c r="AG294" s="463">
        <f t="shared" si="500"/>
        <v>1.2079797650130546E-2</v>
      </c>
      <c r="AI294" s="153">
        <f t="shared" si="501"/>
        <v>0.38116123960537701</v>
      </c>
      <c r="AJ294" s="153">
        <f t="shared" si="502"/>
        <v>0.38116123960537701</v>
      </c>
      <c r="AK294" s="153">
        <f t="shared" si="503"/>
        <v>1.3541074930702512</v>
      </c>
      <c r="AM294" s="317">
        <f t="shared" si="504"/>
        <v>78.000000000000014</v>
      </c>
      <c r="AN294" s="147">
        <f t="shared" si="505"/>
        <v>350</v>
      </c>
      <c r="AP294">
        <f t="shared" si="506"/>
        <v>78.000000000000014</v>
      </c>
      <c r="AQ294">
        <f t="shared" si="507"/>
        <v>350</v>
      </c>
      <c r="AS294" s="5">
        <f t="shared" si="479"/>
        <v>2.8571428571428572</v>
      </c>
      <c r="AT294" s="5">
        <f t="shared" si="508"/>
        <v>0.68902224082510455</v>
      </c>
      <c r="AU294" s="5">
        <f t="shared" si="440"/>
        <v>2.1681206163177524</v>
      </c>
      <c r="AV294" s="5"/>
      <c r="AW294" s="153">
        <f t="shared" si="441"/>
        <v>0.24115778428878659</v>
      </c>
      <c r="AX294" s="153"/>
      <c r="BA294" s="147">
        <f t="shared" si="509"/>
        <v>2.7597754264171033</v>
      </c>
      <c r="BB294" s="147">
        <f t="shared" si="510"/>
        <v>4.7574063359999998</v>
      </c>
      <c r="BC294" s="5">
        <f t="shared" si="442"/>
        <v>0.1445413744211835</v>
      </c>
      <c r="BD294" s="147">
        <f t="shared" si="511"/>
        <v>0</v>
      </c>
      <c r="BQ294" s="463">
        <f t="shared" si="512"/>
        <v>2.9796000000000003E-2</v>
      </c>
      <c r="CG294" s="59">
        <f t="shared" si="513"/>
        <v>-50</v>
      </c>
      <c r="CH294">
        <f t="shared" si="514"/>
        <v>-50</v>
      </c>
    </row>
    <row r="295" spans="5:86" x14ac:dyDescent="0.25">
      <c r="E295" s="150">
        <v>79</v>
      </c>
      <c r="F295" s="191">
        <f t="shared" si="515"/>
        <v>7.9000000000000015E-2</v>
      </c>
      <c r="G295" s="191"/>
      <c r="H295" s="191">
        <f t="shared" si="481"/>
        <v>1.1850000000000003</v>
      </c>
      <c r="I295" s="472">
        <f t="shared" si="482"/>
        <v>26</v>
      </c>
      <c r="J295" s="386">
        <f t="shared" si="483"/>
        <v>15.32</v>
      </c>
      <c r="K295" s="386">
        <f t="shared" si="484"/>
        <v>41.32</v>
      </c>
      <c r="L295" s="386"/>
      <c r="M295" s="191">
        <f t="shared" si="485"/>
        <v>0.37076476282671827</v>
      </c>
      <c r="N295" s="152">
        <f t="shared" si="486"/>
        <v>3.3254522666886368</v>
      </c>
      <c r="O295" s="152">
        <f t="shared" si="478"/>
        <v>1.1850000000000003</v>
      </c>
      <c r="P295" s="191">
        <f t="shared" si="487"/>
        <v>0.22169681777924247</v>
      </c>
      <c r="Q295" s="191">
        <f t="shared" si="488"/>
        <v>15</v>
      </c>
      <c r="R295" s="191"/>
      <c r="S295" s="152">
        <f t="shared" si="489"/>
        <v>85.173266972259754</v>
      </c>
      <c r="T295" s="152">
        <f t="shared" si="490"/>
        <v>15</v>
      </c>
      <c r="U295" s="191">
        <f t="shared" si="491"/>
        <v>0.27317065006360047</v>
      </c>
      <c r="V295" s="191">
        <f t="shared" si="492"/>
        <v>0.49380848280727779</v>
      </c>
      <c r="W295" s="191">
        <f t="shared" si="493"/>
        <v>0.83805617186613712</v>
      </c>
      <c r="X295" s="175">
        <f t="shared" si="494"/>
        <v>350</v>
      </c>
      <c r="Y295" s="386">
        <f t="shared" si="480"/>
        <v>350</v>
      </c>
      <c r="AA295" s="191">
        <f t="shared" si="495"/>
        <v>0.58601117528843016</v>
      </c>
      <c r="AB295" s="153">
        <f t="shared" si="496"/>
        <v>1.7978149633522333</v>
      </c>
      <c r="AC295" s="153">
        <f t="shared" si="497"/>
        <v>0.18436944043440445</v>
      </c>
      <c r="AD295" s="153"/>
      <c r="AE295" s="153">
        <f t="shared" si="498"/>
        <v>0.46018276762402083</v>
      </c>
      <c r="AF295" s="317">
        <f t="shared" si="499"/>
        <v>2288.9456264775422</v>
      </c>
      <c r="AG295" s="463">
        <f t="shared" si="500"/>
        <v>1.2079797650130546E-2</v>
      </c>
      <c r="AI295" s="153">
        <f t="shared" si="501"/>
        <v>0.38359679946432101</v>
      </c>
      <c r="AJ295" s="153">
        <f t="shared" si="502"/>
        <v>0.38359679946432101</v>
      </c>
      <c r="AK295" s="153">
        <f t="shared" si="503"/>
        <v>1.3557311996428807</v>
      </c>
      <c r="AM295" s="317">
        <f t="shared" si="504"/>
        <v>79.000000000000014</v>
      </c>
      <c r="AN295" s="147">
        <f t="shared" si="505"/>
        <v>350</v>
      </c>
      <c r="AP295">
        <f t="shared" si="506"/>
        <v>79.000000000000014</v>
      </c>
      <c r="AQ295">
        <f t="shared" si="507"/>
        <v>350</v>
      </c>
      <c r="AS295" s="5">
        <f t="shared" si="479"/>
        <v>2.8571428571428572</v>
      </c>
      <c r="AT295" s="5">
        <f t="shared" si="508"/>
        <v>0.69342498364704175</v>
      </c>
      <c r="AU295" s="5">
        <f t="shared" si="440"/>
        <v>2.1637178734958153</v>
      </c>
      <c r="AV295" s="5"/>
      <c r="AW295" s="153">
        <f t="shared" si="441"/>
        <v>0.2426987442764646</v>
      </c>
      <c r="AX295" s="153"/>
      <c r="BA295" s="147">
        <f t="shared" si="509"/>
        <v>2.7597754264171033</v>
      </c>
      <c r="BB295" s="147">
        <f t="shared" si="510"/>
        <v>4.8771346060118361</v>
      </c>
      <c r="BC295" s="5">
        <f t="shared" si="442"/>
        <v>0.14609718974886277</v>
      </c>
      <c r="BD295" s="147">
        <f t="shared" si="511"/>
        <v>0</v>
      </c>
      <c r="BQ295" s="463">
        <f t="shared" si="512"/>
        <v>3.0178000000000007E-2</v>
      </c>
      <c r="CG295" s="59">
        <f t="shared" si="513"/>
        <v>-50</v>
      </c>
      <c r="CH295">
        <f t="shared" si="514"/>
        <v>-50</v>
      </c>
    </row>
    <row r="296" spans="5:86" x14ac:dyDescent="0.25">
      <c r="E296" s="150">
        <v>80</v>
      </c>
      <c r="F296" s="191">
        <f t="shared" si="515"/>
        <v>8.0000000000000016E-2</v>
      </c>
      <c r="G296" s="191"/>
      <c r="H296" s="191">
        <f t="shared" si="481"/>
        <v>1.2000000000000002</v>
      </c>
      <c r="I296" s="472">
        <f t="shared" si="482"/>
        <v>26</v>
      </c>
      <c r="J296" s="386">
        <f t="shared" si="483"/>
        <v>15.32</v>
      </c>
      <c r="K296" s="386">
        <f t="shared" si="484"/>
        <v>41.32</v>
      </c>
      <c r="L296" s="386"/>
      <c r="M296" s="191">
        <f t="shared" si="485"/>
        <v>0.37076476282671827</v>
      </c>
      <c r="N296" s="152">
        <f t="shared" si="486"/>
        <v>3.3254522666886368</v>
      </c>
      <c r="O296" s="152">
        <f t="shared" si="478"/>
        <v>1.2000000000000002</v>
      </c>
      <c r="P296" s="191">
        <f t="shared" si="487"/>
        <v>0.22169681777924247</v>
      </c>
      <c r="Q296" s="191">
        <f t="shared" si="488"/>
        <v>15</v>
      </c>
      <c r="R296" s="191"/>
      <c r="S296" s="152">
        <f t="shared" si="489"/>
        <v>83.786422291227524</v>
      </c>
      <c r="T296" s="152">
        <f t="shared" si="490"/>
        <v>15</v>
      </c>
      <c r="U296" s="191">
        <f t="shared" si="491"/>
        <v>0.27662850639351949</v>
      </c>
      <c r="V296" s="191">
        <f t="shared" si="492"/>
        <v>0.5000592230959775</v>
      </c>
      <c r="W296" s="191">
        <f t="shared" si="493"/>
        <v>0.84866447783912624</v>
      </c>
      <c r="X296" s="175">
        <f t="shared" si="494"/>
        <v>350</v>
      </c>
      <c r="Y296" s="386">
        <f t="shared" si="480"/>
        <v>350</v>
      </c>
      <c r="AA296" s="191">
        <f t="shared" si="495"/>
        <v>0.58601117528843016</v>
      </c>
      <c r="AB296" s="153">
        <f t="shared" si="496"/>
        <v>1.7978149633522333</v>
      </c>
      <c r="AC296" s="153">
        <f t="shared" si="497"/>
        <v>0.18436944043440445</v>
      </c>
      <c r="AD296" s="153"/>
      <c r="AE296" s="153">
        <f t="shared" si="498"/>
        <v>0.46018276762402083</v>
      </c>
      <c r="AF296" s="317">
        <f t="shared" si="499"/>
        <v>2317.91962174941</v>
      </c>
      <c r="AG296" s="463">
        <f t="shared" si="500"/>
        <v>1.2079797650130546E-2</v>
      </c>
      <c r="AI296" s="153">
        <f t="shared" si="501"/>
        <v>0.38601699255477534</v>
      </c>
      <c r="AJ296" s="153">
        <f t="shared" si="502"/>
        <v>0.38601699255477534</v>
      </c>
      <c r="AK296" s="153">
        <f t="shared" si="503"/>
        <v>1.3573446617031835</v>
      </c>
      <c r="AM296" s="317">
        <f t="shared" si="504"/>
        <v>80.000000000000014</v>
      </c>
      <c r="AN296" s="147">
        <f t="shared" si="505"/>
        <v>350</v>
      </c>
      <c r="AP296">
        <f t="shared" si="506"/>
        <v>80.000000000000014</v>
      </c>
      <c r="AQ296">
        <f t="shared" si="507"/>
        <v>350</v>
      </c>
      <c r="AS296" s="5">
        <f t="shared" si="479"/>
        <v>2.8571428571428572</v>
      </c>
      <c r="AT296" s="5">
        <f t="shared" si="508"/>
        <v>0.69779994807978607</v>
      </c>
      <c r="AU296" s="5">
        <f t="shared" si="440"/>
        <v>2.1593429090630711</v>
      </c>
      <c r="AV296" s="5"/>
      <c r="AW296" s="153">
        <f t="shared" si="441"/>
        <v>0.24422998182792513</v>
      </c>
      <c r="AX296" s="153"/>
      <c r="BA296" s="147">
        <f t="shared" si="509"/>
        <v>2.7597754264171033</v>
      </c>
      <c r="BB296" s="147">
        <f t="shared" si="510"/>
        <v>4.99834986035503</v>
      </c>
      <c r="BC296" s="5">
        <f t="shared" si="442"/>
        <v>0.14764737839747497</v>
      </c>
      <c r="BD296" s="147">
        <f t="shared" si="511"/>
        <v>0</v>
      </c>
      <c r="BQ296" s="463">
        <f t="shared" si="512"/>
        <v>3.0560000000000007E-2</v>
      </c>
      <c r="CG296" s="59">
        <f t="shared" si="513"/>
        <v>-50</v>
      </c>
      <c r="CH296">
        <f t="shared" si="514"/>
        <v>-50</v>
      </c>
    </row>
    <row r="297" spans="5:86" x14ac:dyDescent="0.25">
      <c r="E297" s="150">
        <v>81</v>
      </c>
      <c r="F297" s="191">
        <f t="shared" si="515"/>
        <v>8.1000000000000016E-2</v>
      </c>
      <c r="G297" s="191"/>
      <c r="H297" s="191">
        <f t="shared" si="481"/>
        <v>1.2150000000000003</v>
      </c>
      <c r="I297" s="472">
        <f t="shared" si="482"/>
        <v>26</v>
      </c>
      <c r="J297" s="386">
        <f t="shared" si="483"/>
        <v>15.32</v>
      </c>
      <c r="K297" s="386">
        <f t="shared" si="484"/>
        <v>41.32</v>
      </c>
      <c r="L297" s="386"/>
      <c r="M297" s="191">
        <f t="shared" si="485"/>
        <v>0.37076476282671827</v>
      </c>
      <c r="N297" s="152">
        <f t="shared" si="486"/>
        <v>3.3254522666886368</v>
      </c>
      <c r="O297" s="152">
        <f t="shared" si="478"/>
        <v>1.2150000000000003</v>
      </c>
      <c r="P297" s="191">
        <f t="shared" si="487"/>
        <v>0.22169681777924247</v>
      </c>
      <c r="Q297" s="191">
        <f t="shared" si="488"/>
        <v>15</v>
      </c>
      <c r="R297" s="191"/>
      <c r="S297" s="152">
        <f t="shared" si="489"/>
        <v>82.433872435071763</v>
      </c>
      <c r="T297" s="152">
        <f t="shared" si="490"/>
        <v>15</v>
      </c>
      <c r="U297" s="191">
        <f t="shared" si="491"/>
        <v>0.28008636272343851</v>
      </c>
      <c r="V297" s="191">
        <f t="shared" si="492"/>
        <v>0.50630996338467726</v>
      </c>
      <c r="W297" s="191">
        <f t="shared" si="493"/>
        <v>0.85927278381211547</v>
      </c>
      <c r="X297" s="175">
        <f t="shared" si="494"/>
        <v>350</v>
      </c>
      <c r="Y297" s="386">
        <f t="shared" si="480"/>
        <v>350</v>
      </c>
      <c r="AA297" s="191">
        <f t="shared" si="495"/>
        <v>0.58601117528843016</v>
      </c>
      <c r="AB297" s="153">
        <f t="shared" si="496"/>
        <v>1.7978149633522333</v>
      </c>
      <c r="AC297" s="153">
        <f t="shared" si="497"/>
        <v>0.18436944043440445</v>
      </c>
      <c r="AD297" s="153"/>
      <c r="AE297" s="153">
        <f t="shared" si="498"/>
        <v>0.46018276762402083</v>
      </c>
      <c r="AF297" s="317">
        <f t="shared" si="499"/>
        <v>2346.8936170212774</v>
      </c>
      <c r="AG297" s="463">
        <f t="shared" si="500"/>
        <v>1.2079797650130546E-2</v>
      </c>
      <c r="AI297" s="153">
        <f t="shared" si="501"/>
        <v>0.38842210612012851</v>
      </c>
      <c r="AJ297" s="153">
        <f t="shared" si="502"/>
        <v>0.38842210612012851</v>
      </c>
      <c r="AK297" s="153">
        <f t="shared" si="503"/>
        <v>1.3589480707467523</v>
      </c>
      <c r="AM297" s="317">
        <f t="shared" si="504"/>
        <v>81.000000000000014</v>
      </c>
      <c r="AN297" s="147">
        <f t="shared" si="505"/>
        <v>350</v>
      </c>
      <c r="AP297">
        <f t="shared" si="506"/>
        <v>81.000000000000014</v>
      </c>
      <c r="AQ297">
        <f t="shared" si="507"/>
        <v>350</v>
      </c>
      <c r="AS297" s="5">
        <f t="shared" si="479"/>
        <v>2.8571428571428572</v>
      </c>
      <c r="AT297" s="5">
        <f t="shared" si="508"/>
        <v>0.7021476533710016</v>
      </c>
      <c r="AU297" s="5">
        <f t="shared" si="440"/>
        <v>2.1549952037718558</v>
      </c>
      <c r="AV297" s="5"/>
      <c r="AW297" s="153">
        <f t="shared" si="441"/>
        <v>0.24575167867985057</v>
      </c>
      <c r="AX297" s="153"/>
      <c r="BA297" s="147">
        <f t="shared" si="509"/>
        <v>2.7597754264171033</v>
      </c>
      <c r="BB297" s="147">
        <f t="shared" si="510"/>
        <v>5.1210520990295878</v>
      </c>
      <c r="BC297" s="5">
        <f t="shared" si="442"/>
        <v>0.14919197564574391</v>
      </c>
      <c r="BD297" s="147">
        <f t="shared" si="511"/>
        <v>0</v>
      </c>
      <c r="BQ297" s="463">
        <f t="shared" si="512"/>
        <v>3.0942000000000004E-2</v>
      </c>
      <c r="CG297" s="59">
        <f t="shared" si="513"/>
        <v>-50</v>
      </c>
      <c r="CH297">
        <f t="shared" si="514"/>
        <v>-50</v>
      </c>
    </row>
    <row r="298" spans="5:86" x14ac:dyDescent="0.25">
      <c r="E298" s="150">
        <v>82</v>
      </c>
      <c r="F298" s="191">
        <f t="shared" si="515"/>
        <v>8.2000000000000003E-2</v>
      </c>
      <c r="G298" s="191"/>
      <c r="H298" s="191">
        <f t="shared" si="481"/>
        <v>1.23</v>
      </c>
      <c r="I298" s="472">
        <f t="shared" si="482"/>
        <v>26</v>
      </c>
      <c r="J298" s="386">
        <f t="shared" si="483"/>
        <v>15.32</v>
      </c>
      <c r="K298" s="386">
        <f t="shared" si="484"/>
        <v>41.32</v>
      </c>
      <c r="L298" s="386"/>
      <c r="M298" s="191">
        <f t="shared" si="485"/>
        <v>0.37076476282671827</v>
      </c>
      <c r="N298" s="152">
        <f t="shared" si="486"/>
        <v>3.3254522666886368</v>
      </c>
      <c r="O298" s="152">
        <f t="shared" si="478"/>
        <v>1.23</v>
      </c>
      <c r="P298" s="191">
        <f t="shared" si="487"/>
        <v>0.22169681777924247</v>
      </c>
      <c r="Q298" s="191">
        <f t="shared" si="488"/>
        <v>15</v>
      </c>
      <c r="R298" s="191"/>
      <c r="S298" s="152">
        <f t="shared" si="489"/>
        <v>81.114363293513051</v>
      </c>
      <c r="T298" s="152">
        <f t="shared" si="490"/>
        <v>15</v>
      </c>
      <c r="U298" s="191">
        <f t="shared" si="491"/>
        <v>0.28354421905335742</v>
      </c>
      <c r="V298" s="191">
        <f t="shared" si="492"/>
        <v>0.51256070367337681</v>
      </c>
      <c r="W298" s="191">
        <f t="shared" si="493"/>
        <v>0.86988108978510426</v>
      </c>
      <c r="X298" s="175">
        <f t="shared" si="494"/>
        <v>350</v>
      </c>
      <c r="Y298" s="386">
        <f t="shared" si="480"/>
        <v>350</v>
      </c>
      <c r="AA298" s="191">
        <f t="shared" si="495"/>
        <v>0.58601117528843016</v>
      </c>
      <c r="AB298" s="153">
        <f t="shared" si="496"/>
        <v>1.7978149633522333</v>
      </c>
      <c r="AC298" s="153">
        <f t="shared" si="497"/>
        <v>0.18436944043440445</v>
      </c>
      <c r="AD298" s="153"/>
      <c r="AE298" s="153">
        <f t="shared" si="498"/>
        <v>0.46018276762402083</v>
      </c>
      <c r="AF298" s="317">
        <f t="shared" si="499"/>
        <v>2375.8676122931447</v>
      </c>
      <c r="AG298" s="463">
        <f t="shared" si="500"/>
        <v>1.2079797650130546E-2</v>
      </c>
      <c r="AI298" s="153">
        <f t="shared" si="501"/>
        <v>0.39081241856491622</v>
      </c>
      <c r="AJ298" s="153">
        <f t="shared" si="502"/>
        <v>0.39081241856491622</v>
      </c>
      <c r="AK298" s="153">
        <f t="shared" si="503"/>
        <v>1.3605416123766108</v>
      </c>
      <c r="AM298" s="317">
        <f t="shared" si="504"/>
        <v>82</v>
      </c>
      <c r="AN298" s="147">
        <f t="shared" si="505"/>
        <v>350</v>
      </c>
      <c r="AP298">
        <f t="shared" si="506"/>
        <v>82</v>
      </c>
      <c r="AQ298">
        <f t="shared" si="507"/>
        <v>350</v>
      </c>
      <c r="AS298" s="5">
        <f t="shared" si="479"/>
        <v>2.8571428571428572</v>
      </c>
      <c r="AT298" s="5">
        <f t="shared" si="508"/>
        <v>0.70646860279042534</v>
      </c>
      <c r="AU298" s="5">
        <f t="shared" ref="AU298:AU316" si="516">AS298-AT298</f>
        <v>2.150674254352432</v>
      </c>
      <c r="AV298" s="5"/>
      <c r="AW298" s="153">
        <f t="shared" ref="AW298:AW316" si="517">AT298/AS298</f>
        <v>0.24726401097664885</v>
      </c>
      <c r="AX298" s="153"/>
      <c r="BA298" s="147">
        <f t="shared" si="509"/>
        <v>2.7597754264171033</v>
      </c>
      <c r="BB298" s="147">
        <f t="shared" si="510"/>
        <v>5.2452413220355041</v>
      </c>
      <c r="BC298" s="5">
        <f t="shared" si="442"/>
        <v>0.15073101611700804</v>
      </c>
      <c r="BD298" s="147">
        <f t="shared" si="511"/>
        <v>0</v>
      </c>
      <c r="BQ298" s="463">
        <f t="shared" si="512"/>
        <v>3.1324000000000005E-2</v>
      </c>
      <c r="CG298" s="59">
        <f t="shared" si="513"/>
        <v>-50</v>
      </c>
      <c r="CH298">
        <f t="shared" si="514"/>
        <v>-50</v>
      </c>
    </row>
    <row r="299" spans="5:86" x14ac:dyDescent="0.25">
      <c r="E299" s="150">
        <v>83</v>
      </c>
      <c r="F299" s="191">
        <f t="shared" si="515"/>
        <v>8.3000000000000004E-2</v>
      </c>
      <c r="G299" s="191"/>
      <c r="H299" s="191">
        <f t="shared" si="481"/>
        <v>1.2450000000000001</v>
      </c>
      <c r="I299" s="472">
        <f t="shared" si="482"/>
        <v>26</v>
      </c>
      <c r="J299" s="386">
        <f t="shared" si="483"/>
        <v>15.32</v>
      </c>
      <c r="K299" s="386">
        <f t="shared" si="484"/>
        <v>41.32</v>
      </c>
      <c r="L299" s="386"/>
      <c r="M299" s="191">
        <f t="shared" si="485"/>
        <v>0.37076476282671827</v>
      </c>
      <c r="N299" s="152">
        <f t="shared" si="486"/>
        <v>3.3254522666886368</v>
      </c>
      <c r="O299" s="152">
        <f t="shared" si="478"/>
        <v>1.2450000000000001</v>
      </c>
      <c r="P299" s="191">
        <f t="shared" si="487"/>
        <v>0.22169681777924247</v>
      </c>
      <c r="Q299" s="191">
        <f t="shared" si="488"/>
        <v>15</v>
      </c>
      <c r="R299" s="191"/>
      <c r="S299" s="152">
        <f t="shared" si="489"/>
        <v>79.826701203780217</v>
      </c>
      <c r="T299" s="152">
        <f t="shared" si="490"/>
        <v>15</v>
      </c>
      <c r="U299" s="191">
        <f t="shared" si="491"/>
        <v>0.28700207538327643</v>
      </c>
      <c r="V299" s="191">
        <f t="shared" si="492"/>
        <v>0.51881144396207668</v>
      </c>
      <c r="W299" s="191">
        <f t="shared" si="493"/>
        <v>0.88048939575809348</v>
      </c>
      <c r="X299" s="175">
        <f t="shared" si="494"/>
        <v>350</v>
      </c>
      <c r="Y299" s="386">
        <f t="shared" si="480"/>
        <v>350</v>
      </c>
      <c r="AA299" s="191">
        <f t="shared" si="495"/>
        <v>0.58601117528843016</v>
      </c>
      <c r="AB299" s="153">
        <f t="shared" si="496"/>
        <v>1.7978149633522333</v>
      </c>
      <c r="AC299" s="153">
        <f t="shared" si="497"/>
        <v>0.18436944043440445</v>
      </c>
      <c r="AD299" s="153"/>
      <c r="AE299" s="153">
        <f t="shared" si="498"/>
        <v>0.46018276762402083</v>
      </c>
      <c r="AF299" s="317">
        <f t="shared" si="499"/>
        <v>2404.8416075650125</v>
      </c>
      <c r="AG299" s="463">
        <f t="shared" si="500"/>
        <v>1.2079797650130546E-2</v>
      </c>
      <c r="AI299" s="153">
        <f t="shared" si="501"/>
        <v>0.39318819983097431</v>
      </c>
      <c r="AJ299" s="153">
        <f t="shared" si="502"/>
        <v>0.39318819983097431</v>
      </c>
      <c r="AK299" s="153">
        <f t="shared" si="503"/>
        <v>1.3621254665539828</v>
      </c>
      <c r="AM299" s="317">
        <f t="shared" si="504"/>
        <v>83</v>
      </c>
      <c r="AN299" s="147">
        <f t="shared" si="505"/>
        <v>350</v>
      </c>
      <c r="AP299">
        <f t="shared" si="506"/>
        <v>83</v>
      </c>
      <c r="AQ299">
        <f t="shared" si="507"/>
        <v>350</v>
      </c>
      <c r="AS299" s="5">
        <f t="shared" si="479"/>
        <v>2.8571428571428572</v>
      </c>
      <c r="AT299" s="5">
        <f t="shared" si="508"/>
        <v>0.71076328430983815</v>
      </c>
      <c r="AU299" s="5">
        <f t="shared" si="516"/>
        <v>2.1463795728330188</v>
      </c>
      <c r="AV299" s="5"/>
      <c r="AW299" s="153">
        <f t="shared" si="517"/>
        <v>0.24876714950844334</v>
      </c>
      <c r="AX299" s="153"/>
      <c r="BA299" s="147">
        <f t="shared" si="509"/>
        <v>2.7597754264171033</v>
      </c>
      <c r="BB299" s="147">
        <f t="shared" si="510"/>
        <v>5.3709175293727807</v>
      </c>
      <c r="BC299" s="5">
        <f t="shared" si="442"/>
        <v>0.15226453379926544</v>
      </c>
      <c r="BD299" s="147">
        <f t="shared" si="511"/>
        <v>0</v>
      </c>
      <c r="BQ299" s="463">
        <f t="shared" si="512"/>
        <v>3.1705999999999998E-2</v>
      </c>
      <c r="CG299" s="59">
        <f t="shared" si="513"/>
        <v>-50</v>
      </c>
      <c r="CH299">
        <f t="shared" si="514"/>
        <v>-50</v>
      </c>
    </row>
    <row r="300" spans="5:86" x14ac:dyDescent="0.25">
      <c r="E300" s="150">
        <v>84</v>
      </c>
      <c r="F300" s="191">
        <f t="shared" si="515"/>
        <v>8.4000000000000005E-2</v>
      </c>
      <c r="G300" s="191"/>
      <c r="H300" s="191">
        <f t="shared" si="481"/>
        <v>1.26</v>
      </c>
      <c r="I300" s="472">
        <f t="shared" si="482"/>
        <v>26</v>
      </c>
      <c r="J300" s="386">
        <f t="shared" si="483"/>
        <v>15.32</v>
      </c>
      <c r="K300" s="386">
        <f t="shared" si="484"/>
        <v>41.32</v>
      </c>
      <c r="L300" s="386"/>
      <c r="M300" s="191">
        <f t="shared" si="485"/>
        <v>0.37076476282671827</v>
      </c>
      <c r="N300" s="152">
        <f t="shared" si="486"/>
        <v>3.3254522666886368</v>
      </c>
      <c r="O300" s="152">
        <f t="shared" si="478"/>
        <v>1.26</v>
      </c>
      <c r="P300" s="191">
        <f t="shared" si="487"/>
        <v>0.22169681777924247</v>
      </c>
      <c r="Q300" s="191">
        <f t="shared" si="488"/>
        <v>15</v>
      </c>
      <c r="R300" s="191"/>
      <c r="S300" s="152">
        <f t="shared" si="489"/>
        <v>78.569749352695865</v>
      </c>
      <c r="T300" s="152">
        <f t="shared" si="490"/>
        <v>15</v>
      </c>
      <c r="U300" s="191">
        <f t="shared" si="491"/>
        <v>0.2904599317131954</v>
      </c>
      <c r="V300" s="191">
        <f t="shared" si="492"/>
        <v>0.52506218425077633</v>
      </c>
      <c r="W300" s="191">
        <f t="shared" si="493"/>
        <v>0.89109770173108249</v>
      </c>
      <c r="X300" s="175">
        <f t="shared" si="494"/>
        <v>350</v>
      </c>
      <c r="Y300" s="386">
        <f t="shared" si="480"/>
        <v>350</v>
      </c>
      <c r="AA300" s="191">
        <f t="shared" si="495"/>
        <v>0.58601117528843016</v>
      </c>
      <c r="AB300" s="153">
        <f t="shared" si="496"/>
        <v>1.7978149633522333</v>
      </c>
      <c r="AC300" s="153">
        <f t="shared" si="497"/>
        <v>0.18436944043440445</v>
      </c>
      <c r="AD300" s="153"/>
      <c r="AE300" s="153">
        <f t="shared" si="498"/>
        <v>0.46018276762402083</v>
      </c>
      <c r="AF300" s="317">
        <f t="shared" si="499"/>
        <v>2433.8156028368803</v>
      </c>
      <c r="AG300" s="463">
        <f t="shared" si="500"/>
        <v>1.2079797650130546E-2</v>
      </c>
      <c r="AI300" s="153">
        <f t="shared" si="501"/>
        <v>0.39554971175325754</v>
      </c>
      <c r="AJ300" s="153">
        <f t="shared" si="502"/>
        <v>0.39554971175325754</v>
      </c>
      <c r="AK300" s="153">
        <f t="shared" si="503"/>
        <v>1.3636998078355049</v>
      </c>
      <c r="AM300" s="317">
        <f t="shared" si="504"/>
        <v>84</v>
      </c>
      <c r="AN300" s="147">
        <f t="shared" si="505"/>
        <v>350</v>
      </c>
      <c r="AP300">
        <f t="shared" si="506"/>
        <v>84</v>
      </c>
      <c r="AQ300">
        <f t="shared" si="507"/>
        <v>350</v>
      </c>
      <c r="AS300" s="5">
        <f t="shared" si="479"/>
        <v>2.8571428571428572</v>
      </c>
      <c r="AT300" s="5">
        <f t="shared" si="508"/>
        <v>0.71503217124627316</v>
      </c>
      <c r="AU300" s="5">
        <f t="shared" si="516"/>
        <v>2.1421106858965842</v>
      </c>
      <c r="AV300" s="5"/>
      <c r="AW300" s="153">
        <f t="shared" si="517"/>
        <v>0.25026125993619558</v>
      </c>
      <c r="AX300" s="153"/>
      <c r="BA300" s="147">
        <f t="shared" si="509"/>
        <v>2.7597754264171033</v>
      </c>
      <c r="BB300" s="147">
        <f t="shared" si="510"/>
        <v>5.4980807210414193</v>
      </c>
      <c r="BC300" s="5">
        <f t="shared" si="442"/>
        <v>0.15379256206437014</v>
      </c>
      <c r="BD300" s="147">
        <f t="shared" si="511"/>
        <v>0</v>
      </c>
      <c r="BQ300" s="463">
        <f t="shared" si="512"/>
        <v>3.2088000000000005E-2</v>
      </c>
      <c r="CG300" s="59">
        <f t="shared" si="513"/>
        <v>-50</v>
      </c>
      <c r="CH300">
        <f t="shared" si="514"/>
        <v>-50</v>
      </c>
    </row>
    <row r="301" spans="5:86" x14ac:dyDescent="0.25">
      <c r="E301" s="150">
        <v>85</v>
      </c>
      <c r="F301" s="191">
        <f t="shared" si="515"/>
        <v>8.5000000000000006E-2</v>
      </c>
      <c r="G301" s="191"/>
      <c r="H301" s="191">
        <f t="shared" si="481"/>
        <v>1.2750000000000001</v>
      </c>
      <c r="I301" s="472">
        <f t="shared" si="482"/>
        <v>26</v>
      </c>
      <c r="J301" s="386">
        <f t="shared" si="483"/>
        <v>15.32</v>
      </c>
      <c r="K301" s="386">
        <f t="shared" si="484"/>
        <v>41.32</v>
      </c>
      <c r="L301" s="386"/>
      <c r="M301" s="191">
        <f t="shared" si="485"/>
        <v>0.37076476282671827</v>
      </c>
      <c r="N301" s="152">
        <f t="shared" si="486"/>
        <v>3.3254522666886368</v>
      </c>
      <c r="O301" s="152">
        <f t="shared" si="478"/>
        <v>1.2750000000000001</v>
      </c>
      <c r="P301" s="191">
        <f t="shared" si="487"/>
        <v>0.22169681777924247</v>
      </c>
      <c r="Q301" s="191">
        <f t="shared" si="488"/>
        <v>15</v>
      </c>
      <c r="R301" s="191"/>
      <c r="S301" s="152">
        <f t="shared" si="489"/>
        <v>77.342424432735356</v>
      </c>
      <c r="T301" s="152">
        <f t="shared" si="490"/>
        <v>15</v>
      </c>
      <c r="U301" s="191">
        <f t="shared" si="491"/>
        <v>0.29391778804311441</v>
      </c>
      <c r="V301" s="191">
        <f t="shared" si="492"/>
        <v>0.53131292453947598</v>
      </c>
      <c r="W301" s="191">
        <f t="shared" si="493"/>
        <v>0.9017060077040715</v>
      </c>
      <c r="X301" s="175">
        <f t="shared" si="494"/>
        <v>350</v>
      </c>
      <c r="Y301" s="386">
        <f t="shared" si="480"/>
        <v>350</v>
      </c>
      <c r="AA301" s="191">
        <f t="shared" si="495"/>
        <v>0.58601117528843016</v>
      </c>
      <c r="AB301" s="153">
        <f t="shared" si="496"/>
        <v>1.7978149633522333</v>
      </c>
      <c r="AC301" s="153">
        <f t="shared" si="497"/>
        <v>0.18436944043440445</v>
      </c>
      <c r="AD301" s="153"/>
      <c r="AE301" s="153">
        <f t="shared" si="498"/>
        <v>0.46018276762402083</v>
      </c>
      <c r="AF301" s="317">
        <f t="shared" si="499"/>
        <v>2462.7895981087481</v>
      </c>
      <c r="AG301" s="463">
        <f t="shared" si="500"/>
        <v>1.2079797650130546E-2</v>
      </c>
      <c r="AI301" s="153">
        <f t="shared" si="501"/>
        <v>0.39789720839665116</v>
      </c>
      <c r="AJ301" s="153">
        <f t="shared" si="502"/>
        <v>0.39789720839665116</v>
      </c>
      <c r="AK301" s="153">
        <f t="shared" si="503"/>
        <v>1.3652648055977674</v>
      </c>
      <c r="AM301" s="317">
        <f t="shared" si="504"/>
        <v>85</v>
      </c>
      <c r="AN301" s="147">
        <f t="shared" si="505"/>
        <v>350</v>
      </c>
      <c r="AP301">
        <f t="shared" si="506"/>
        <v>85</v>
      </c>
      <c r="AQ301">
        <f t="shared" si="507"/>
        <v>350</v>
      </c>
      <c r="AS301" s="5">
        <f t="shared" si="479"/>
        <v>2.8571428571428572</v>
      </c>
      <c r="AT301" s="5">
        <f t="shared" si="508"/>
        <v>0.71927572287086938</v>
      </c>
      <c r="AU301" s="5">
        <f t="shared" si="516"/>
        <v>2.1378671342719877</v>
      </c>
      <c r="AV301" s="5"/>
      <c r="AW301" s="153">
        <f t="shared" si="517"/>
        <v>0.25174650300480428</v>
      </c>
      <c r="AX301" s="153"/>
      <c r="BA301" s="147">
        <f t="shared" si="509"/>
        <v>2.7597754264171033</v>
      </c>
      <c r="BB301" s="147">
        <f t="shared" si="510"/>
        <v>5.6267308970414209</v>
      </c>
      <c r="BC301" s="5">
        <f t="shared" si="442"/>
        <v>0.15531513368642647</v>
      </c>
      <c r="BD301" s="147">
        <f t="shared" si="511"/>
        <v>0</v>
      </c>
      <c r="BQ301" s="463">
        <f t="shared" si="512"/>
        <v>3.2469999999999999E-2</v>
      </c>
      <c r="CG301" s="59">
        <f t="shared" si="513"/>
        <v>-50</v>
      </c>
      <c r="CH301">
        <f t="shared" si="514"/>
        <v>-50</v>
      </c>
    </row>
    <row r="302" spans="5:86" x14ac:dyDescent="0.25">
      <c r="E302" s="150">
        <v>86</v>
      </c>
      <c r="F302" s="191">
        <f t="shared" si="515"/>
        <v>8.6000000000000007E-2</v>
      </c>
      <c r="G302" s="191"/>
      <c r="H302" s="191">
        <f t="shared" si="481"/>
        <v>1.29</v>
      </c>
      <c r="I302" s="472">
        <f t="shared" si="482"/>
        <v>26</v>
      </c>
      <c r="J302" s="386">
        <f t="shared" si="483"/>
        <v>15.32</v>
      </c>
      <c r="K302" s="386">
        <f t="shared" si="484"/>
        <v>41.32</v>
      </c>
      <c r="L302" s="386"/>
      <c r="M302" s="191">
        <f t="shared" si="485"/>
        <v>0.37076476282671827</v>
      </c>
      <c r="N302" s="152">
        <f t="shared" si="486"/>
        <v>3.3254522666886368</v>
      </c>
      <c r="O302" s="152">
        <f t="shared" si="478"/>
        <v>1.29</v>
      </c>
      <c r="P302" s="191">
        <f t="shared" si="487"/>
        <v>0.22169681777924247</v>
      </c>
      <c r="Q302" s="191">
        <f t="shared" si="488"/>
        <v>15</v>
      </c>
      <c r="R302" s="191"/>
      <c r="S302" s="152">
        <f t="shared" si="489"/>
        <v>76.143693531387328</v>
      </c>
      <c r="T302" s="152">
        <f t="shared" si="490"/>
        <v>15</v>
      </c>
      <c r="U302" s="191">
        <f t="shared" si="491"/>
        <v>0.29737564437303338</v>
      </c>
      <c r="V302" s="191">
        <f t="shared" si="492"/>
        <v>0.53756366482817575</v>
      </c>
      <c r="W302" s="191">
        <f t="shared" si="493"/>
        <v>0.91231431367706062</v>
      </c>
      <c r="X302" s="175">
        <f t="shared" si="494"/>
        <v>350</v>
      </c>
      <c r="Y302" s="386">
        <f t="shared" si="480"/>
        <v>350</v>
      </c>
      <c r="AA302" s="191">
        <f t="shared" si="495"/>
        <v>0.58601117528843016</v>
      </c>
      <c r="AB302" s="153">
        <f t="shared" si="496"/>
        <v>1.7978149633522333</v>
      </c>
      <c r="AC302" s="153">
        <f t="shared" si="497"/>
        <v>0.18436944043440445</v>
      </c>
      <c r="AD302" s="153"/>
      <c r="AE302" s="153">
        <f t="shared" si="498"/>
        <v>0.46018276762402083</v>
      </c>
      <c r="AF302" s="317">
        <f t="shared" si="499"/>
        <v>2491.7635933806155</v>
      </c>
      <c r="AG302" s="463">
        <f t="shared" si="500"/>
        <v>1.2079797650130546E-2</v>
      </c>
      <c r="AI302" s="153">
        <f t="shared" si="501"/>
        <v>0.40023093637500207</v>
      </c>
      <c r="AJ302" s="153">
        <f t="shared" si="502"/>
        <v>0.40023093637500207</v>
      </c>
      <c r="AK302" s="153">
        <f t="shared" si="503"/>
        <v>1.3668206242500014</v>
      </c>
      <c r="AM302" s="317">
        <f t="shared" si="504"/>
        <v>86</v>
      </c>
      <c r="AN302" s="147">
        <f t="shared" si="505"/>
        <v>350</v>
      </c>
      <c r="AP302">
        <f t="shared" si="506"/>
        <v>86</v>
      </c>
      <c r="AQ302">
        <f t="shared" si="507"/>
        <v>350</v>
      </c>
      <c r="AS302" s="5">
        <f t="shared" si="479"/>
        <v>2.8571428571428572</v>
      </c>
      <c r="AT302" s="5">
        <f t="shared" si="508"/>
        <v>0.72349438498558061</v>
      </c>
      <c r="AU302" s="5">
        <f t="shared" si="516"/>
        <v>2.1336484721572768</v>
      </c>
      <c r="AV302" s="5"/>
      <c r="AW302" s="153">
        <f t="shared" si="517"/>
        <v>0.25322303474495322</v>
      </c>
      <c r="AX302" s="153"/>
      <c r="BA302" s="147">
        <f t="shared" si="509"/>
        <v>2.7597754264171033</v>
      </c>
      <c r="BB302" s="147">
        <f t="shared" si="510"/>
        <v>5.756868057372782</v>
      </c>
      <c r="BC302" s="5">
        <f t="shared" si="442"/>
        <v>0.15683228085942377</v>
      </c>
      <c r="BD302" s="147">
        <f t="shared" si="511"/>
        <v>0</v>
      </c>
      <c r="BQ302" s="463">
        <f t="shared" si="512"/>
        <v>3.2852000000000006E-2</v>
      </c>
      <c r="CG302" s="59">
        <f t="shared" si="513"/>
        <v>-50</v>
      </c>
      <c r="CH302">
        <f t="shared" si="514"/>
        <v>-50</v>
      </c>
    </row>
    <row r="303" spans="5:86" x14ac:dyDescent="0.25">
      <c r="E303" s="150">
        <v>87</v>
      </c>
      <c r="F303" s="191">
        <f t="shared" si="515"/>
        <v>8.7000000000000008E-2</v>
      </c>
      <c r="G303" s="191"/>
      <c r="H303" s="191">
        <f t="shared" si="481"/>
        <v>1.3050000000000002</v>
      </c>
      <c r="I303" s="472">
        <f t="shared" si="482"/>
        <v>26</v>
      </c>
      <c r="J303" s="386">
        <f t="shared" si="483"/>
        <v>15.32</v>
      </c>
      <c r="K303" s="386">
        <f t="shared" si="484"/>
        <v>41.32</v>
      </c>
      <c r="L303" s="386"/>
      <c r="M303" s="191">
        <f t="shared" si="485"/>
        <v>0.37076476282671827</v>
      </c>
      <c r="N303" s="152">
        <f t="shared" si="486"/>
        <v>3.3254522666886368</v>
      </c>
      <c r="O303" s="152">
        <f t="shared" si="478"/>
        <v>1.3050000000000002</v>
      </c>
      <c r="P303" s="191">
        <f t="shared" si="487"/>
        <v>0.22169681777924247</v>
      </c>
      <c r="Q303" s="191">
        <f t="shared" si="488"/>
        <v>15</v>
      </c>
      <c r="R303" s="191"/>
      <c r="S303" s="152">
        <f t="shared" si="489"/>
        <v>74.972571235044285</v>
      </c>
      <c r="T303" s="152">
        <f t="shared" si="490"/>
        <v>15</v>
      </c>
      <c r="U303" s="191">
        <f t="shared" si="491"/>
        <v>0.30083350070295239</v>
      </c>
      <c r="V303" s="191">
        <f t="shared" si="492"/>
        <v>0.5438144051168754</v>
      </c>
      <c r="W303" s="191">
        <f t="shared" si="493"/>
        <v>0.92292261965004974</v>
      </c>
      <c r="X303" s="175">
        <f t="shared" si="494"/>
        <v>350</v>
      </c>
      <c r="Y303" s="386">
        <f t="shared" si="480"/>
        <v>350</v>
      </c>
      <c r="AA303" s="191">
        <f t="shared" si="495"/>
        <v>0.58601117528843016</v>
      </c>
      <c r="AB303" s="153">
        <f t="shared" si="496"/>
        <v>1.7978149633522333</v>
      </c>
      <c r="AC303" s="153">
        <f t="shared" si="497"/>
        <v>0.18436944043440445</v>
      </c>
      <c r="AD303" s="153"/>
      <c r="AE303" s="153">
        <f t="shared" si="498"/>
        <v>0.46018276762402083</v>
      </c>
      <c r="AF303" s="317">
        <f t="shared" si="499"/>
        <v>2520.7375886524833</v>
      </c>
      <c r="AG303" s="463">
        <f t="shared" si="500"/>
        <v>1.2079797650130546E-2</v>
      </c>
      <c r="AI303" s="153">
        <f t="shared" si="501"/>
        <v>0.40255113515350305</v>
      </c>
      <c r="AJ303" s="153">
        <f t="shared" si="502"/>
        <v>0.40255113515350305</v>
      </c>
      <c r="AK303" s="153">
        <f t="shared" si="503"/>
        <v>1.3683674234356686</v>
      </c>
      <c r="AM303" s="317">
        <f t="shared" si="504"/>
        <v>87.000000000000014</v>
      </c>
      <c r="AN303" s="147">
        <f t="shared" si="505"/>
        <v>350</v>
      </c>
      <c r="AP303">
        <f t="shared" si="506"/>
        <v>87.000000000000014</v>
      </c>
      <c r="AQ303">
        <f t="shared" si="507"/>
        <v>350</v>
      </c>
      <c r="AS303" s="5">
        <f t="shared" si="479"/>
        <v>2.8571428571428572</v>
      </c>
      <c r="AT303" s="5">
        <f t="shared" si="508"/>
        <v>0.72768859046979395</v>
      </c>
      <c r="AU303" s="5">
        <f t="shared" si="516"/>
        <v>2.1294542666730631</v>
      </c>
      <c r="AV303" s="5"/>
      <c r="AW303" s="153">
        <f t="shared" si="517"/>
        <v>0.2546910066644279</v>
      </c>
      <c r="AX303" s="153"/>
      <c r="BA303" s="147">
        <f t="shared" si="509"/>
        <v>2.7597754264171033</v>
      </c>
      <c r="BB303" s="147">
        <f t="shared" si="510"/>
        <v>5.8884922020355033</v>
      </c>
      <c r="BC303" s="5">
        <f t="shared" si="442"/>
        <v>0.15834403521415089</v>
      </c>
      <c r="BD303" s="147">
        <f t="shared" si="511"/>
        <v>0</v>
      </c>
      <c r="BQ303" s="463">
        <f t="shared" si="512"/>
        <v>3.3234E-2</v>
      </c>
      <c r="CG303" s="59">
        <f t="shared" si="513"/>
        <v>-50</v>
      </c>
      <c r="CH303">
        <f t="shared" si="514"/>
        <v>-50</v>
      </c>
    </row>
    <row r="304" spans="5:86" x14ac:dyDescent="0.25">
      <c r="E304" s="150">
        <v>88</v>
      </c>
      <c r="F304" s="191">
        <f t="shared" si="515"/>
        <v>8.8000000000000009E-2</v>
      </c>
      <c r="G304" s="191"/>
      <c r="H304" s="191">
        <f t="shared" si="481"/>
        <v>1.32</v>
      </c>
      <c r="I304" s="472">
        <f t="shared" si="482"/>
        <v>26</v>
      </c>
      <c r="J304" s="386">
        <f t="shared" si="483"/>
        <v>15.32</v>
      </c>
      <c r="K304" s="386">
        <f t="shared" si="484"/>
        <v>41.32</v>
      </c>
      <c r="L304" s="386"/>
      <c r="M304" s="191">
        <f t="shared" si="485"/>
        <v>0.37076476282671827</v>
      </c>
      <c r="N304" s="152">
        <f t="shared" si="486"/>
        <v>3.3254522666886368</v>
      </c>
      <c r="O304" s="152">
        <f t="shared" si="478"/>
        <v>1.32</v>
      </c>
      <c r="P304" s="191">
        <f t="shared" si="487"/>
        <v>0.22169681777924247</v>
      </c>
      <c r="Q304" s="191">
        <f t="shared" si="488"/>
        <v>15</v>
      </c>
      <c r="R304" s="191"/>
      <c r="S304" s="152">
        <f t="shared" si="489"/>
        <v>73.828116930358533</v>
      </c>
      <c r="T304" s="152">
        <f t="shared" si="490"/>
        <v>15</v>
      </c>
      <c r="U304" s="191">
        <f t="shared" si="491"/>
        <v>0.30429135703287136</v>
      </c>
      <c r="V304" s="191">
        <f t="shared" si="492"/>
        <v>0.55006514540557516</v>
      </c>
      <c r="W304" s="191">
        <f t="shared" si="493"/>
        <v>0.93353092562303874</v>
      </c>
      <c r="X304" s="175">
        <f t="shared" si="494"/>
        <v>350</v>
      </c>
      <c r="Y304" s="386">
        <f t="shared" si="480"/>
        <v>350</v>
      </c>
      <c r="AA304" s="191">
        <f t="shared" si="495"/>
        <v>0.58601117528843016</v>
      </c>
      <c r="AB304" s="153">
        <f t="shared" si="496"/>
        <v>1.7978149633522333</v>
      </c>
      <c r="AC304" s="153">
        <f t="shared" si="497"/>
        <v>0.18436944043440445</v>
      </c>
      <c r="AD304" s="153"/>
      <c r="AE304" s="153">
        <f t="shared" si="498"/>
        <v>0.46018276762402083</v>
      </c>
      <c r="AF304" s="317">
        <f t="shared" si="499"/>
        <v>2549.7115839243506</v>
      </c>
      <c r="AG304" s="463">
        <f t="shared" si="500"/>
        <v>1.2079797650130546E-2</v>
      </c>
      <c r="AI304" s="153">
        <f t="shared" si="501"/>
        <v>0.40485803733547987</v>
      </c>
      <c r="AJ304" s="153">
        <f t="shared" si="502"/>
        <v>0.40485803733547987</v>
      </c>
      <c r="AK304" s="153">
        <f t="shared" si="503"/>
        <v>1.3699053582236531</v>
      </c>
      <c r="AM304" s="317">
        <f t="shared" si="504"/>
        <v>88.000000000000014</v>
      </c>
      <c r="AN304" s="147">
        <f t="shared" si="505"/>
        <v>350</v>
      </c>
      <c r="AP304">
        <f t="shared" si="506"/>
        <v>88.000000000000014</v>
      </c>
      <c r="AQ304">
        <f t="shared" si="507"/>
        <v>350</v>
      </c>
      <c r="AS304" s="5">
        <f t="shared" si="479"/>
        <v>2.8571428571428572</v>
      </c>
      <c r="AT304" s="5">
        <f t="shared" si="508"/>
        <v>0.73185875979875203</v>
      </c>
      <c r="AU304" s="5">
        <f t="shared" si="516"/>
        <v>2.1252840973441049</v>
      </c>
      <c r="AV304" s="5"/>
      <c r="AW304" s="153">
        <f t="shared" si="517"/>
        <v>0.2561505659295632</v>
      </c>
      <c r="AX304" s="153"/>
      <c r="BA304" s="147">
        <f t="shared" si="509"/>
        <v>2.7597754264171033</v>
      </c>
      <c r="BB304" s="147">
        <f t="shared" si="510"/>
        <v>6.0216033310295867</v>
      </c>
      <c r="BC304" s="5">
        <f t="shared" si="442"/>
        <v>0.15985042783442843</v>
      </c>
      <c r="BD304" s="147">
        <f t="shared" si="511"/>
        <v>0</v>
      </c>
      <c r="BQ304" s="463">
        <f t="shared" si="512"/>
        <v>3.3616E-2</v>
      </c>
      <c r="CG304" s="59">
        <f t="shared" si="513"/>
        <v>-50</v>
      </c>
      <c r="CH304">
        <f t="shared" si="514"/>
        <v>-50</v>
      </c>
    </row>
    <row r="305" spans="4:86" x14ac:dyDescent="0.25">
      <c r="E305" s="150">
        <v>89</v>
      </c>
      <c r="F305" s="191">
        <f t="shared" si="515"/>
        <v>8.900000000000001E-2</v>
      </c>
      <c r="G305" s="191"/>
      <c r="H305" s="191">
        <f t="shared" si="481"/>
        <v>1.3350000000000002</v>
      </c>
      <c r="I305" s="472">
        <f t="shared" si="482"/>
        <v>26</v>
      </c>
      <c r="J305" s="386">
        <f t="shared" si="483"/>
        <v>15.32</v>
      </c>
      <c r="K305" s="386">
        <f t="shared" si="484"/>
        <v>41.32</v>
      </c>
      <c r="L305" s="386"/>
      <c r="M305" s="191">
        <f t="shared" si="485"/>
        <v>0.37076476282671827</v>
      </c>
      <c r="N305" s="152">
        <f t="shared" si="486"/>
        <v>3.3254522666886368</v>
      </c>
      <c r="O305" s="152">
        <f t="shared" si="478"/>
        <v>1.3350000000000002</v>
      </c>
      <c r="P305" s="191">
        <f t="shared" si="487"/>
        <v>0.22169681777924247</v>
      </c>
      <c r="Q305" s="191">
        <f t="shared" si="488"/>
        <v>15</v>
      </c>
      <c r="R305" s="191"/>
      <c r="S305" s="152">
        <f t="shared" si="489"/>
        <v>72.709432287532366</v>
      </c>
      <c r="T305" s="152">
        <f t="shared" si="490"/>
        <v>15</v>
      </c>
      <c r="U305" s="191">
        <f t="shared" si="491"/>
        <v>0.30774921336279043</v>
      </c>
      <c r="V305" s="191">
        <f t="shared" si="492"/>
        <v>0.55631588569427504</v>
      </c>
      <c r="W305" s="191">
        <f t="shared" si="493"/>
        <v>0.94413923159602808</v>
      </c>
      <c r="X305" s="175">
        <f t="shared" si="494"/>
        <v>350</v>
      </c>
      <c r="Y305" s="386">
        <f t="shared" si="480"/>
        <v>350</v>
      </c>
      <c r="AA305" s="191">
        <f t="shared" si="495"/>
        <v>0.58601117528843016</v>
      </c>
      <c r="AB305" s="153">
        <f t="shared" si="496"/>
        <v>1.7978149633522333</v>
      </c>
      <c r="AC305" s="153">
        <f t="shared" si="497"/>
        <v>0.18436944043440445</v>
      </c>
      <c r="AD305" s="153"/>
      <c r="AE305" s="153">
        <f t="shared" si="498"/>
        <v>0.46018276762402083</v>
      </c>
      <c r="AF305" s="317">
        <f t="shared" si="499"/>
        <v>2578.6855791962184</v>
      </c>
      <c r="AG305" s="463">
        <f t="shared" si="500"/>
        <v>1.2079797650130546E-2</v>
      </c>
      <c r="AI305" s="153">
        <f t="shared" si="501"/>
        <v>0.40715186893455335</v>
      </c>
      <c r="AJ305" s="153">
        <f t="shared" si="502"/>
        <v>0.40715186893455335</v>
      </c>
      <c r="AK305" s="153">
        <f t="shared" si="503"/>
        <v>1.3714345792897022</v>
      </c>
      <c r="AM305" s="317">
        <f t="shared" si="504"/>
        <v>89.000000000000014</v>
      </c>
      <c r="AN305" s="147">
        <f t="shared" si="505"/>
        <v>350</v>
      </c>
      <c r="AP305">
        <f t="shared" si="506"/>
        <v>89.000000000000014</v>
      </c>
      <c r="AQ305">
        <f t="shared" si="507"/>
        <v>350</v>
      </c>
      <c r="AS305" s="5">
        <f t="shared" si="479"/>
        <v>2.8571428571428572</v>
      </c>
      <c r="AT305" s="5">
        <f t="shared" si="508"/>
        <v>0.73600530153553867</v>
      </c>
      <c r="AU305" s="5">
        <f t="shared" si="516"/>
        <v>2.1211375556073184</v>
      </c>
      <c r="AV305" s="5"/>
      <c r="AW305" s="153">
        <f t="shared" si="517"/>
        <v>0.25760185553743853</v>
      </c>
      <c r="AX305" s="153"/>
      <c r="BA305" s="147">
        <f t="shared" si="509"/>
        <v>2.7597754264171033</v>
      </c>
      <c r="BB305" s="147">
        <f t="shared" si="510"/>
        <v>6.1562014443550304</v>
      </c>
      <c r="BC305" s="5">
        <f t="shared" si="442"/>
        <v>0.16135148927269349</v>
      </c>
      <c r="BD305" s="147">
        <f t="shared" si="511"/>
        <v>0</v>
      </c>
      <c r="BQ305" s="463">
        <f t="shared" si="512"/>
        <v>3.3998000000000007E-2</v>
      </c>
      <c r="CG305" s="59">
        <f t="shared" si="513"/>
        <v>-50</v>
      </c>
      <c r="CH305">
        <f t="shared" si="514"/>
        <v>-50</v>
      </c>
    </row>
    <row r="306" spans="4:86" x14ac:dyDescent="0.25">
      <c r="E306" s="150">
        <v>90</v>
      </c>
      <c r="F306" s="191">
        <f t="shared" si="515"/>
        <v>9.0000000000000011E-2</v>
      </c>
      <c r="G306" s="191"/>
      <c r="H306" s="191">
        <f t="shared" si="481"/>
        <v>1.35</v>
      </c>
      <c r="I306" s="472">
        <f t="shared" si="482"/>
        <v>26</v>
      </c>
      <c r="J306" s="386">
        <f t="shared" si="483"/>
        <v>15.32</v>
      </c>
      <c r="K306" s="386">
        <f t="shared" si="484"/>
        <v>41.32</v>
      </c>
      <c r="L306" s="386"/>
      <c r="M306" s="191">
        <f t="shared" si="485"/>
        <v>0.37076476282671827</v>
      </c>
      <c r="N306" s="152">
        <f t="shared" si="486"/>
        <v>3.3254522666886368</v>
      </c>
      <c r="O306" s="152">
        <f t="shared" si="478"/>
        <v>1.35</v>
      </c>
      <c r="P306" s="191">
        <f t="shared" si="487"/>
        <v>0.22169681777924247</v>
      </c>
      <c r="Q306" s="191">
        <f t="shared" si="488"/>
        <v>15</v>
      </c>
      <c r="R306" s="191"/>
      <c r="S306" s="152">
        <f t="shared" si="489"/>
        <v>71.615658911392586</v>
      </c>
      <c r="T306" s="152">
        <f t="shared" si="490"/>
        <v>15</v>
      </c>
      <c r="U306" s="191">
        <f t="shared" si="491"/>
        <v>0.31120706969270939</v>
      </c>
      <c r="V306" s="191">
        <f t="shared" si="492"/>
        <v>0.56256662598297458</v>
      </c>
      <c r="W306" s="191">
        <f t="shared" si="493"/>
        <v>0.95474753756901698</v>
      </c>
      <c r="X306" s="175">
        <f t="shared" si="494"/>
        <v>350</v>
      </c>
      <c r="Y306" s="386">
        <f t="shared" si="480"/>
        <v>350</v>
      </c>
      <c r="AA306" s="191">
        <f t="shared" si="495"/>
        <v>0.58601117528843016</v>
      </c>
      <c r="AB306" s="153">
        <f t="shared" si="496"/>
        <v>1.7978149633522333</v>
      </c>
      <c r="AC306" s="153">
        <f t="shared" si="497"/>
        <v>0.18436944043440445</v>
      </c>
      <c r="AD306" s="153"/>
      <c r="AE306" s="153">
        <f t="shared" si="498"/>
        <v>0.46018276762402083</v>
      </c>
      <c r="AF306" s="317">
        <f t="shared" si="499"/>
        <v>2607.6595744680858</v>
      </c>
      <c r="AG306" s="463">
        <f t="shared" si="500"/>
        <v>1.2079797650130546E-2</v>
      </c>
      <c r="AI306" s="153">
        <f t="shared" si="501"/>
        <v>0.40943284963307797</v>
      </c>
      <c r="AJ306" s="153">
        <f t="shared" si="502"/>
        <v>0.40943284963307797</v>
      </c>
      <c r="AK306" s="153">
        <f t="shared" si="503"/>
        <v>1.3729552330887187</v>
      </c>
      <c r="AM306" s="317">
        <f t="shared" si="504"/>
        <v>90.000000000000014</v>
      </c>
      <c r="AN306" s="147">
        <f t="shared" si="505"/>
        <v>350</v>
      </c>
      <c r="AP306">
        <f t="shared" si="506"/>
        <v>90.000000000000014</v>
      </c>
      <c r="AQ306">
        <f t="shared" si="507"/>
        <v>350</v>
      </c>
      <c r="AS306" s="5">
        <f t="shared" si="479"/>
        <v>2.8571428571428572</v>
      </c>
      <c r="AT306" s="5">
        <f t="shared" si="508"/>
        <v>0.74012861279825626</v>
      </c>
      <c r="AU306" s="5">
        <f t="shared" si="516"/>
        <v>2.1170142443446007</v>
      </c>
      <c r="AV306" s="5"/>
      <c r="AW306" s="153">
        <f t="shared" si="517"/>
        <v>0.25904501447938966</v>
      </c>
      <c r="AX306" s="153"/>
      <c r="BA306" s="147">
        <f t="shared" si="509"/>
        <v>2.7597754264171033</v>
      </c>
      <c r="BB306" s="147">
        <f t="shared" si="510"/>
        <v>6.2922865420118352</v>
      </c>
      <c r="BC306" s="5">
        <f t="shared" si="442"/>
        <v>0.16284724956496929</v>
      </c>
      <c r="BD306" s="147">
        <f t="shared" si="511"/>
        <v>0</v>
      </c>
      <c r="BQ306" s="463">
        <f t="shared" si="512"/>
        <v>3.4380000000000001E-2</v>
      </c>
      <c r="CG306" s="59">
        <f t="shared" si="513"/>
        <v>-50</v>
      </c>
      <c r="CH306">
        <f t="shared" si="514"/>
        <v>-50</v>
      </c>
    </row>
    <row r="307" spans="4:86" x14ac:dyDescent="0.25">
      <c r="E307" s="150">
        <v>91</v>
      </c>
      <c r="F307" s="191">
        <f t="shared" si="515"/>
        <v>9.1000000000000011E-2</v>
      </c>
      <c r="G307" s="191"/>
      <c r="H307" s="191">
        <f t="shared" si="481"/>
        <v>1.3650000000000002</v>
      </c>
      <c r="I307" s="472">
        <f t="shared" si="482"/>
        <v>26</v>
      </c>
      <c r="J307" s="386">
        <f t="shared" si="483"/>
        <v>15.32</v>
      </c>
      <c r="K307" s="386">
        <f t="shared" si="484"/>
        <v>41.32</v>
      </c>
      <c r="L307" s="386"/>
      <c r="M307" s="191">
        <f t="shared" si="485"/>
        <v>0.37076476282671827</v>
      </c>
      <c r="N307" s="152">
        <f t="shared" si="486"/>
        <v>3.3254522666886368</v>
      </c>
      <c r="O307" s="152">
        <f t="shared" si="478"/>
        <v>1.3650000000000002</v>
      </c>
      <c r="P307" s="191">
        <f t="shared" si="487"/>
        <v>0.22169681777924247</v>
      </c>
      <c r="Q307" s="191">
        <f t="shared" si="488"/>
        <v>15</v>
      </c>
      <c r="R307" s="191"/>
      <c r="S307" s="152">
        <f t="shared" si="489"/>
        <v>70.545976147342259</v>
      </c>
      <c r="T307" s="152">
        <f t="shared" si="490"/>
        <v>15</v>
      </c>
      <c r="U307" s="191">
        <f t="shared" si="491"/>
        <v>0.31466492602262841</v>
      </c>
      <c r="V307" s="191">
        <f t="shared" si="492"/>
        <v>0.56881736627167445</v>
      </c>
      <c r="W307" s="191">
        <f t="shared" si="493"/>
        <v>0.9653558435420061</v>
      </c>
      <c r="X307" s="175">
        <f t="shared" si="494"/>
        <v>350</v>
      </c>
      <c r="Y307" s="386">
        <f t="shared" si="480"/>
        <v>350</v>
      </c>
      <c r="AA307" s="191">
        <f t="shared" si="495"/>
        <v>0.58601117528843016</v>
      </c>
      <c r="AB307" s="153">
        <f t="shared" si="496"/>
        <v>1.7978149633522333</v>
      </c>
      <c r="AC307" s="153">
        <f t="shared" si="497"/>
        <v>0.18436944043440445</v>
      </c>
      <c r="AD307" s="153"/>
      <c r="AE307" s="153">
        <f t="shared" si="498"/>
        <v>0.46018276762402083</v>
      </c>
      <c r="AF307" s="317">
        <f t="shared" si="499"/>
        <v>2636.6335697399536</v>
      </c>
      <c r="AG307" s="463">
        <f t="shared" si="500"/>
        <v>1.2079797650130546E-2</v>
      </c>
      <c r="AI307" s="153">
        <f t="shared" si="501"/>
        <v>0.41170119302769276</v>
      </c>
      <c r="AJ307" s="153">
        <f t="shared" si="502"/>
        <v>0.41170119302769276</v>
      </c>
      <c r="AK307" s="153">
        <f t="shared" si="503"/>
        <v>1.3744674620184618</v>
      </c>
      <c r="AM307" s="317">
        <f t="shared" si="504"/>
        <v>91.000000000000014</v>
      </c>
      <c r="AN307" s="147">
        <f t="shared" si="505"/>
        <v>350</v>
      </c>
      <c r="AP307">
        <f t="shared" si="506"/>
        <v>91.000000000000014</v>
      </c>
      <c r="AQ307">
        <f t="shared" si="507"/>
        <v>350</v>
      </c>
      <c r="AS307" s="5">
        <f t="shared" si="479"/>
        <v>2.8571428571428572</v>
      </c>
      <c r="AT307" s="5">
        <f t="shared" si="508"/>
        <v>0.74422907970390617</v>
      </c>
      <c r="AU307" s="5">
        <f t="shared" si="516"/>
        <v>2.1129137774389513</v>
      </c>
      <c r="AV307" s="5"/>
      <c r="AW307" s="153">
        <f t="shared" si="517"/>
        <v>0.26048017789636713</v>
      </c>
      <c r="AX307" s="153"/>
      <c r="BA307" s="147">
        <f t="shared" si="509"/>
        <v>2.7597754264171033</v>
      </c>
      <c r="BB307" s="147">
        <f t="shared" si="510"/>
        <v>6.4298586240000013</v>
      </c>
      <c r="BC307" s="5">
        <f t="shared" si="442"/>
        <v>0.1643377382452518</v>
      </c>
      <c r="BD307" s="147">
        <f t="shared" si="511"/>
        <v>0</v>
      </c>
      <c r="BQ307" s="463">
        <f t="shared" si="512"/>
        <v>3.4762000000000008E-2</v>
      </c>
      <c r="CG307" s="59">
        <f t="shared" si="513"/>
        <v>-50</v>
      </c>
      <c r="CH307">
        <f t="shared" si="514"/>
        <v>-50</v>
      </c>
    </row>
    <row r="308" spans="4:86" x14ac:dyDescent="0.25">
      <c r="E308" s="150">
        <v>92</v>
      </c>
      <c r="F308" s="191">
        <f t="shared" si="515"/>
        <v>9.2000000000000012E-2</v>
      </c>
      <c r="G308" s="191"/>
      <c r="H308" s="191">
        <f t="shared" si="481"/>
        <v>1.3800000000000001</v>
      </c>
      <c r="I308" s="472">
        <f t="shared" si="482"/>
        <v>26</v>
      </c>
      <c r="J308" s="386">
        <f t="shared" si="483"/>
        <v>15.32</v>
      </c>
      <c r="K308" s="386">
        <f t="shared" si="484"/>
        <v>41.32</v>
      </c>
      <c r="L308" s="386"/>
      <c r="M308" s="191">
        <f t="shared" si="485"/>
        <v>0.37076476282671827</v>
      </c>
      <c r="N308" s="152">
        <f t="shared" si="486"/>
        <v>3.3254522666886368</v>
      </c>
      <c r="O308" s="152">
        <f t="shared" si="478"/>
        <v>1.3800000000000001</v>
      </c>
      <c r="P308" s="191">
        <f t="shared" si="487"/>
        <v>0.22169681777924247</v>
      </c>
      <c r="Q308" s="191">
        <f t="shared" si="488"/>
        <v>15</v>
      </c>
      <c r="R308" s="191"/>
      <c r="S308" s="152">
        <f t="shared" si="489"/>
        <v>69.499599030406458</v>
      </c>
      <c r="T308" s="152">
        <f t="shared" si="490"/>
        <v>15</v>
      </c>
      <c r="U308" s="191">
        <f t="shared" si="491"/>
        <v>0.31812278235254737</v>
      </c>
      <c r="V308" s="191">
        <f t="shared" si="492"/>
        <v>0.5750681065603741</v>
      </c>
      <c r="W308" s="191">
        <f t="shared" si="493"/>
        <v>0.97596414951499511</v>
      </c>
      <c r="X308" s="175">
        <f t="shared" si="494"/>
        <v>350</v>
      </c>
      <c r="Y308" s="386">
        <f t="shared" si="480"/>
        <v>350</v>
      </c>
      <c r="AA308" s="191">
        <f t="shared" si="495"/>
        <v>0.58601117528843016</v>
      </c>
      <c r="AB308" s="153">
        <f t="shared" si="496"/>
        <v>1.7978149633522333</v>
      </c>
      <c r="AC308" s="153">
        <f t="shared" si="497"/>
        <v>0.18436944043440445</v>
      </c>
      <c r="AD308" s="153"/>
      <c r="AE308" s="153">
        <f t="shared" si="498"/>
        <v>0.46018276762402083</v>
      </c>
      <c r="AF308" s="317">
        <f t="shared" si="499"/>
        <v>2665.6075650118214</v>
      </c>
      <c r="AG308" s="463">
        <f t="shared" si="500"/>
        <v>1.2079797650130546E-2</v>
      </c>
      <c r="AI308" s="153">
        <f t="shared" si="501"/>
        <v>0.41395710686276233</v>
      </c>
      <c r="AJ308" s="153">
        <f t="shared" si="502"/>
        <v>0.41395710686276233</v>
      </c>
      <c r="AK308" s="153">
        <f t="shared" si="503"/>
        <v>1.375971404575175</v>
      </c>
      <c r="AM308" s="317">
        <f t="shared" si="504"/>
        <v>92.000000000000014</v>
      </c>
      <c r="AN308" s="147">
        <f t="shared" si="505"/>
        <v>350</v>
      </c>
      <c r="AP308">
        <f t="shared" si="506"/>
        <v>92.000000000000014</v>
      </c>
      <c r="AQ308">
        <f t="shared" si="507"/>
        <v>350</v>
      </c>
      <c r="AS308" s="5">
        <f t="shared" si="479"/>
        <v>2.8571428571428572</v>
      </c>
      <c r="AT308" s="5">
        <f t="shared" si="508"/>
        <v>0.74830707779037797</v>
      </c>
      <c r="AU308" s="5">
        <f t="shared" si="516"/>
        <v>2.1088357793524795</v>
      </c>
      <c r="AV308" s="5"/>
      <c r="AW308" s="153">
        <f t="shared" si="517"/>
        <v>0.26190747722663227</v>
      </c>
      <c r="AX308" s="153"/>
      <c r="BA308" s="147">
        <f t="shared" si="509"/>
        <v>2.7597754264171033</v>
      </c>
      <c r="BB308" s="147">
        <f t="shared" si="510"/>
        <v>6.5689176903195277</v>
      </c>
      <c r="BC308" s="5">
        <f t="shared" si="442"/>
        <v>0.16582298435934029</v>
      </c>
      <c r="BD308" s="147">
        <f t="shared" si="511"/>
        <v>0</v>
      </c>
      <c r="BQ308" s="463">
        <f t="shared" si="512"/>
        <v>3.5144000000000002E-2</v>
      </c>
      <c r="CG308" s="59">
        <f t="shared" si="513"/>
        <v>-50</v>
      </c>
      <c r="CH308">
        <f t="shared" si="514"/>
        <v>-50</v>
      </c>
    </row>
    <row r="309" spans="4:86" x14ac:dyDescent="0.25">
      <c r="E309" s="150">
        <v>93</v>
      </c>
      <c r="F309" s="191">
        <f t="shared" si="515"/>
        <v>9.3000000000000013E-2</v>
      </c>
      <c r="G309" s="191"/>
      <c r="H309" s="191">
        <f t="shared" si="481"/>
        <v>1.3950000000000002</v>
      </c>
      <c r="I309" s="472">
        <f t="shared" si="482"/>
        <v>26</v>
      </c>
      <c r="J309" s="386">
        <f t="shared" si="483"/>
        <v>15.32</v>
      </c>
      <c r="K309" s="386">
        <f t="shared" si="484"/>
        <v>41.32</v>
      </c>
      <c r="L309" s="386"/>
      <c r="M309" s="191">
        <f t="shared" si="485"/>
        <v>0.37076476282671827</v>
      </c>
      <c r="N309" s="152">
        <f t="shared" si="486"/>
        <v>3.3254522666886368</v>
      </c>
      <c r="O309" s="152">
        <f t="shared" si="478"/>
        <v>1.3950000000000002</v>
      </c>
      <c r="P309" s="191">
        <f t="shared" si="487"/>
        <v>0.22169681777924247</v>
      </c>
      <c r="Q309" s="191">
        <f t="shared" si="488"/>
        <v>15</v>
      </c>
      <c r="R309" s="191"/>
      <c r="S309" s="152">
        <f t="shared" si="489"/>
        <v>68.475776366600769</v>
      </c>
      <c r="T309" s="152">
        <f t="shared" si="490"/>
        <v>15</v>
      </c>
      <c r="U309" s="191">
        <f t="shared" si="491"/>
        <v>0.32158063868246639</v>
      </c>
      <c r="V309" s="191">
        <f t="shared" si="492"/>
        <v>0.58131884684907387</v>
      </c>
      <c r="W309" s="191">
        <f t="shared" si="493"/>
        <v>0.98657245548798433</v>
      </c>
      <c r="X309" s="175">
        <f t="shared" si="494"/>
        <v>350</v>
      </c>
      <c r="Y309" s="386">
        <f t="shared" si="480"/>
        <v>350</v>
      </c>
      <c r="AA309" s="191">
        <f t="shared" si="495"/>
        <v>0.58601117528843016</v>
      </c>
      <c r="AB309" s="153">
        <f t="shared" si="496"/>
        <v>1.7978149633522333</v>
      </c>
      <c r="AC309" s="153">
        <f t="shared" si="497"/>
        <v>0.18436944043440445</v>
      </c>
      <c r="AD309" s="153"/>
      <c r="AE309" s="153">
        <f t="shared" si="498"/>
        <v>0.46018276762402083</v>
      </c>
      <c r="AF309" s="317">
        <f t="shared" si="499"/>
        <v>2694.5815602836888</v>
      </c>
      <c r="AG309" s="463">
        <f t="shared" si="500"/>
        <v>1.2079797650130546E-2</v>
      </c>
      <c r="AI309" s="153">
        <f t="shared" si="501"/>
        <v>0.41620079325242926</v>
      </c>
      <c r="AJ309" s="153">
        <f t="shared" si="502"/>
        <v>0.41620079325242926</v>
      </c>
      <c r="AK309" s="153">
        <f t="shared" si="503"/>
        <v>1.3774671955016196</v>
      </c>
      <c r="AM309" s="317">
        <f t="shared" si="504"/>
        <v>93.000000000000014</v>
      </c>
      <c r="AN309" s="147">
        <f t="shared" si="505"/>
        <v>350</v>
      </c>
      <c r="AP309">
        <f t="shared" si="506"/>
        <v>93.000000000000014</v>
      </c>
      <c r="AQ309">
        <f t="shared" si="507"/>
        <v>350</v>
      </c>
      <c r="AS309" s="5">
        <f t="shared" si="479"/>
        <v>2.8571428571428572</v>
      </c>
      <c r="AT309" s="5">
        <f t="shared" si="508"/>
        <v>0.75236297241785277</v>
      </c>
      <c r="AU309" s="5">
        <f t="shared" si="516"/>
        <v>2.1047798847250045</v>
      </c>
      <c r="AV309" s="5"/>
      <c r="AW309" s="153">
        <f t="shared" si="517"/>
        <v>0.26332704034624849</v>
      </c>
      <c r="AX309" s="153"/>
      <c r="BA309" s="147">
        <f t="shared" si="509"/>
        <v>2.7597754264171033</v>
      </c>
      <c r="BB309" s="147">
        <f t="shared" si="510"/>
        <v>6.7094637409704152</v>
      </c>
      <c r="BC309" s="5">
        <f t="shared" ref="BC309:BC316" si="518">H309/Efficiency/I309*AU309/Vinripple1</f>
        <v>0.16730301647814141</v>
      </c>
      <c r="BD309" s="147">
        <f t="shared" si="511"/>
        <v>0</v>
      </c>
      <c r="BQ309" s="463">
        <f t="shared" si="512"/>
        <v>3.5526000000000002E-2</v>
      </c>
      <c r="CG309" s="59">
        <f t="shared" si="513"/>
        <v>-50</v>
      </c>
      <c r="CH309">
        <f t="shared" si="514"/>
        <v>-50</v>
      </c>
    </row>
    <row r="310" spans="4:86" x14ac:dyDescent="0.25">
      <c r="E310" s="150">
        <v>94</v>
      </c>
      <c r="F310" s="191">
        <f t="shared" si="515"/>
        <v>9.4E-2</v>
      </c>
      <c r="G310" s="191"/>
      <c r="H310" s="191">
        <f t="shared" si="481"/>
        <v>1.41</v>
      </c>
      <c r="I310" s="472">
        <f t="shared" si="482"/>
        <v>26</v>
      </c>
      <c r="J310" s="386">
        <f t="shared" si="483"/>
        <v>15.32</v>
      </c>
      <c r="K310" s="386">
        <f t="shared" si="484"/>
        <v>41.32</v>
      </c>
      <c r="L310" s="386"/>
      <c r="M310" s="191">
        <f t="shared" si="485"/>
        <v>0.37076476282671827</v>
      </c>
      <c r="N310" s="152">
        <f t="shared" si="486"/>
        <v>3.3254522666886368</v>
      </c>
      <c r="O310" s="152">
        <f t="shared" si="478"/>
        <v>1.41</v>
      </c>
      <c r="P310" s="191">
        <f t="shared" si="487"/>
        <v>0.22169681777924247</v>
      </c>
      <c r="Q310" s="191">
        <f t="shared" si="488"/>
        <v>15</v>
      </c>
      <c r="R310" s="191"/>
      <c r="S310" s="152">
        <f t="shared" si="489"/>
        <v>67.473788936769523</v>
      </c>
      <c r="T310" s="152">
        <f t="shared" si="490"/>
        <v>15</v>
      </c>
      <c r="U310" s="191">
        <f t="shared" si="491"/>
        <v>0.3250384950123853</v>
      </c>
      <c r="V310" s="191">
        <f t="shared" si="492"/>
        <v>0.58756958713777341</v>
      </c>
      <c r="W310" s="191">
        <f t="shared" si="493"/>
        <v>0.99718076146097301</v>
      </c>
      <c r="X310" s="175">
        <f t="shared" si="494"/>
        <v>350</v>
      </c>
      <c r="Y310" s="386">
        <f t="shared" si="480"/>
        <v>350</v>
      </c>
      <c r="AA310" s="191">
        <f t="shared" si="495"/>
        <v>0.58601117528843016</v>
      </c>
      <c r="AB310" s="153">
        <f t="shared" si="496"/>
        <v>1.7978149633522333</v>
      </c>
      <c r="AC310" s="153">
        <f t="shared" si="497"/>
        <v>0.18436944043440445</v>
      </c>
      <c r="AD310" s="153"/>
      <c r="AE310" s="153">
        <f t="shared" si="498"/>
        <v>0.46018276762402083</v>
      </c>
      <c r="AF310" s="317">
        <f t="shared" si="499"/>
        <v>2723.5555555555561</v>
      </c>
      <c r="AG310" s="463">
        <f t="shared" si="500"/>
        <v>1.2079797650130546E-2</v>
      </c>
      <c r="AI310" s="153">
        <f t="shared" si="501"/>
        <v>0.41843244889194992</v>
      </c>
      <c r="AJ310" s="153">
        <f t="shared" si="502"/>
        <v>0.41843244889194992</v>
      </c>
      <c r="AK310" s="153">
        <f t="shared" si="503"/>
        <v>1.3789549659279667</v>
      </c>
      <c r="AM310" s="317">
        <f t="shared" si="504"/>
        <v>94</v>
      </c>
      <c r="AN310" s="147">
        <f t="shared" si="505"/>
        <v>350</v>
      </c>
      <c r="AP310">
        <f t="shared" si="506"/>
        <v>94</v>
      </c>
      <c r="AQ310">
        <f t="shared" si="507"/>
        <v>350</v>
      </c>
      <c r="AS310" s="5">
        <f t="shared" si="479"/>
        <v>2.8571428571428572</v>
      </c>
      <c r="AT310" s="5">
        <f t="shared" si="508"/>
        <v>0.75639711915083241</v>
      </c>
      <c r="AU310" s="5">
        <f t="shared" si="516"/>
        <v>2.1007457379920247</v>
      </c>
      <c r="AV310" s="5"/>
      <c r="AW310" s="153">
        <f t="shared" si="517"/>
        <v>0.26473899170279136</v>
      </c>
      <c r="AX310" s="153"/>
      <c r="BA310" s="147">
        <f t="shared" si="509"/>
        <v>2.7597754264171033</v>
      </c>
      <c r="BB310" s="147">
        <f t="shared" si="510"/>
        <v>6.8514967759526613</v>
      </c>
      <c r="BC310" s="5">
        <f t="shared" si="518"/>
        <v>0.16877786271047035</v>
      </c>
      <c r="BD310" s="147">
        <f t="shared" si="511"/>
        <v>0</v>
      </c>
      <c r="BQ310" s="463">
        <f t="shared" si="512"/>
        <v>3.5908000000000002E-2</v>
      </c>
      <c r="CG310" s="59">
        <f t="shared" si="513"/>
        <v>-50</v>
      </c>
      <c r="CH310">
        <f t="shared" si="514"/>
        <v>-50</v>
      </c>
    </row>
    <row r="311" spans="4:86" x14ac:dyDescent="0.25">
      <c r="E311" s="150">
        <v>95</v>
      </c>
      <c r="F311" s="191">
        <f t="shared" si="515"/>
        <v>9.5000000000000001E-2</v>
      </c>
      <c r="G311" s="191"/>
      <c r="H311" s="191">
        <f t="shared" si="481"/>
        <v>1.425</v>
      </c>
      <c r="I311" s="472">
        <f t="shared" si="482"/>
        <v>26</v>
      </c>
      <c r="J311" s="386">
        <f t="shared" si="483"/>
        <v>15.32</v>
      </c>
      <c r="K311" s="386">
        <f t="shared" si="484"/>
        <v>41.32</v>
      </c>
      <c r="L311" s="386"/>
      <c r="M311" s="191">
        <f t="shared" si="485"/>
        <v>0.37076476282671827</v>
      </c>
      <c r="N311" s="152">
        <f t="shared" si="486"/>
        <v>3.3254522666886368</v>
      </c>
      <c r="O311" s="152">
        <f t="shared" si="478"/>
        <v>1.425</v>
      </c>
      <c r="P311" s="191">
        <f t="shared" si="487"/>
        <v>0.22169681777924247</v>
      </c>
      <c r="Q311" s="191">
        <f t="shared" si="488"/>
        <v>15</v>
      </c>
      <c r="R311" s="191"/>
      <c r="S311" s="152">
        <f t="shared" si="489"/>
        <v>66.492947813869208</v>
      </c>
      <c r="T311" s="152">
        <f t="shared" si="490"/>
        <v>15</v>
      </c>
      <c r="U311" s="191">
        <f t="shared" si="491"/>
        <v>0.32849635134230432</v>
      </c>
      <c r="V311" s="191">
        <f t="shared" si="492"/>
        <v>0.59382032742647328</v>
      </c>
      <c r="W311" s="191">
        <f t="shared" si="493"/>
        <v>1.0077890674339622</v>
      </c>
      <c r="X311" s="175">
        <f t="shared" si="494"/>
        <v>350</v>
      </c>
      <c r="Y311" s="386">
        <f t="shared" si="480"/>
        <v>350</v>
      </c>
      <c r="AA311" s="191">
        <f t="shared" si="495"/>
        <v>0.58601117528843016</v>
      </c>
      <c r="AB311" s="153">
        <f t="shared" si="496"/>
        <v>1.7978149633522333</v>
      </c>
      <c r="AC311" s="153">
        <f t="shared" si="497"/>
        <v>0.18436944043440445</v>
      </c>
      <c r="AD311" s="153"/>
      <c r="AE311" s="153">
        <f t="shared" si="498"/>
        <v>0.46018276762402083</v>
      </c>
      <c r="AF311" s="317">
        <f t="shared" si="499"/>
        <v>2752.5295508274239</v>
      </c>
      <c r="AG311" s="463">
        <f t="shared" si="500"/>
        <v>1.2079797650130546E-2</v>
      </c>
      <c r="AI311" s="153">
        <f t="shared" si="501"/>
        <v>0.42065226525893951</v>
      </c>
      <c r="AJ311" s="153">
        <f t="shared" si="502"/>
        <v>0.42065226525893951</v>
      </c>
      <c r="AK311" s="153">
        <f t="shared" si="503"/>
        <v>1.3804348435059597</v>
      </c>
      <c r="AM311" s="317">
        <f t="shared" si="504"/>
        <v>95</v>
      </c>
      <c r="AN311" s="147">
        <f t="shared" si="505"/>
        <v>350</v>
      </c>
      <c r="AP311">
        <f t="shared" si="506"/>
        <v>95</v>
      </c>
      <c r="AQ311">
        <f t="shared" si="507"/>
        <v>350</v>
      </c>
      <c r="AS311" s="5">
        <f t="shared" si="479"/>
        <v>2.8571428571428572</v>
      </c>
      <c r="AT311" s="5">
        <f t="shared" si="508"/>
        <v>0.76040986412192912</v>
      </c>
      <c r="AU311" s="5">
        <f t="shared" si="516"/>
        <v>2.096732993020928</v>
      </c>
      <c r="AV311" s="5"/>
      <c r="AW311" s="153">
        <f t="shared" si="517"/>
        <v>0.26614345244267518</v>
      </c>
      <c r="AX311" s="153"/>
      <c r="BA311" s="147">
        <f t="shared" si="509"/>
        <v>2.7597754264171033</v>
      </c>
      <c r="BB311" s="147">
        <f t="shared" si="510"/>
        <v>6.9950167952662721</v>
      </c>
      <c r="BC311" s="5">
        <f t="shared" si="518"/>
        <v>0.17024755071537448</v>
      </c>
      <c r="BD311" s="147">
        <f t="shared" si="511"/>
        <v>0</v>
      </c>
      <c r="BQ311" s="463">
        <f t="shared" si="512"/>
        <v>3.6290000000000003E-2</v>
      </c>
      <c r="CG311" s="59">
        <f t="shared" si="513"/>
        <v>-50</v>
      </c>
      <c r="CH311">
        <f t="shared" si="514"/>
        <v>-50</v>
      </c>
    </row>
    <row r="312" spans="4:86" x14ac:dyDescent="0.25">
      <c r="E312" s="150">
        <v>96</v>
      </c>
      <c r="F312" s="191">
        <f t="shared" si="515"/>
        <v>9.6000000000000002E-2</v>
      </c>
      <c r="G312" s="191"/>
      <c r="H312" s="191">
        <f t="shared" ref="H312:H316" si="519">F312*Vout</f>
        <v>1.44</v>
      </c>
      <c r="I312" s="472">
        <f t="shared" si="482"/>
        <v>26</v>
      </c>
      <c r="J312" s="386">
        <f t="shared" si="483"/>
        <v>15.32</v>
      </c>
      <c r="K312" s="386">
        <f t="shared" si="484"/>
        <v>41.32</v>
      </c>
      <c r="L312" s="386"/>
      <c r="M312" s="191">
        <f t="shared" si="485"/>
        <v>0.37076476282671827</v>
      </c>
      <c r="N312" s="152">
        <f t="shared" ref="N312:N316" si="520">M312*I312*(Isw_max+VIN_max/Lmag*ILIM_delay)*0.5*Efficiency</f>
        <v>3.3254522666886368</v>
      </c>
      <c r="O312" s="152">
        <f t="shared" si="478"/>
        <v>1.44</v>
      </c>
      <c r="P312" s="191">
        <f t="shared" ref="P312:P316" si="521">N312/Vout</f>
        <v>0.22169681777924247</v>
      </c>
      <c r="Q312" s="191">
        <f t="shared" si="488"/>
        <v>15</v>
      </c>
      <c r="R312" s="191"/>
      <c r="S312" s="152">
        <f t="shared" si="489"/>
        <v>65.532592785425479</v>
      </c>
      <c r="T312" s="152">
        <f t="shared" ref="T312:T316" si="522">MIN(Vout, S312)</f>
        <v>15</v>
      </c>
      <c r="U312" s="191">
        <f t="shared" si="491"/>
        <v>0.33195420767222328</v>
      </c>
      <c r="V312" s="191">
        <f t="shared" ref="V312:V316" si="523">L*U312/I312*1000000</f>
        <v>0.60007106771517282</v>
      </c>
      <c r="W312" s="191">
        <f t="shared" si="493"/>
        <v>1.0183973734069511</v>
      </c>
      <c r="X312" s="175">
        <f t="shared" si="494"/>
        <v>350</v>
      </c>
      <c r="Y312" s="386">
        <f t="shared" si="480"/>
        <v>350</v>
      </c>
      <c r="AA312" s="191">
        <f t="shared" si="495"/>
        <v>0.58601117528843016</v>
      </c>
      <c r="AB312" s="153">
        <f t="shared" ref="AB312:AB316" si="524">L*AA312/J312*1000000</f>
        <v>1.7978149633522333</v>
      </c>
      <c r="AC312" s="153">
        <f t="shared" ref="AC312:AC316" si="525">0.5*AB312*AA312*Nps*X312/1000</f>
        <v>0.18436944043440445</v>
      </c>
      <c r="AD312" s="153"/>
      <c r="AE312" s="153">
        <f t="shared" si="498"/>
        <v>0.46018276762402083</v>
      </c>
      <c r="AF312" s="317">
        <f t="shared" ref="AF312:AF316" si="526">MAX(12000,F312/(0.5*AE312/1000000*Isw_min*Nps))/1000</f>
        <v>2781.5035460992917</v>
      </c>
      <c r="AG312" s="463">
        <f t="shared" si="500"/>
        <v>1.2079797650130546E-2</v>
      </c>
      <c r="AI312" s="153">
        <f t="shared" si="501"/>
        <v>0.42286042880510832</v>
      </c>
      <c r="AJ312" s="153">
        <f t="shared" ref="AJ312:AJ316" si="527">MAX(IF(F312&gt;AC312,U312,AI312),Isw_min)</f>
        <v>0.42286042880510832</v>
      </c>
      <c r="AK312" s="153">
        <f t="shared" ref="AK312:AK316" si="528">IF(F312&gt;AG312, (AJ312-Isw_min)/1.2*0.8+1.2, AF312*0.2/350+1)</f>
        <v>1.3819069525367389</v>
      </c>
      <c r="AM312" s="317">
        <f t="shared" si="504"/>
        <v>96</v>
      </c>
      <c r="AN312" s="147">
        <f t="shared" si="505"/>
        <v>350</v>
      </c>
      <c r="AP312">
        <f t="shared" si="506"/>
        <v>96</v>
      </c>
      <c r="AQ312">
        <f t="shared" si="507"/>
        <v>350</v>
      </c>
      <c r="AS312" s="5">
        <f t="shared" si="479"/>
        <v>2.8571428571428572</v>
      </c>
      <c r="AT312" s="5">
        <f t="shared" si="508"/>
        <v>0.76440154437846497</v>
      </c>
      <c r="AU312" s="5">
        <f t="shared" si="516"/>
        <v>2.0927413127643923</v>
      </c>
      <c r="AV312" s="5"/>
      <c r="AW312" s="153">
        <f t="shared" si="517"/>
        <v>0.26754054053246273</v>
      </c>
      <c r="AX312" s="153"/>
      <c r="BA312" s="147">
        <f t="shared" si="509"/>
        <v>2.7597754264171033</v>
      </c>
      <c r="BB312" s="147">
        <f t="shared" si="510"/>
        <v>7.1400237989112432</v>
      </c>
      <c r="BC312" s="5">
        <f t="shared" si="518"/>
        <v>0.17171210771400139</v>
      </c>
      <c r="BD312" s="147">
        <f t="shared" si="511"/>
        <v>0</v>
      </c>
      <c r="BQ312" s="463">
        <f t="shared" si="512"/>
        <v>3.6672000000000003E-2</v>
      </c>
      <c r="CG312" s="59">
        <f t="shared" si="513"/>
        <v>-50</v>
      </c>
      <c r="CH312">
        <f t="shared" si="514"/>
        <v>-50</v>
      </c>
    </row>
    <row r="313" spans="4:86" x14ac:dyDescent="0.25">
      <c r="E313" s="150">
        <v>97</v>
      </c>
      <c r="F313" s="191">
        <f t="shared" ref="F313:F316" si="529">IF(PLOT_TYPE=1, E313/100*Iout_max, min_I*EXP(N313*rr/100))</f>
        <v>9.7000000000000003E-2</v>
      </c>
      <c r="G313" s="191"/>
      <c r="H313" s="191">
        <f t="shared" si="519"/>
        <v>1.4550000000000001</v>
      </c>
      <c r="I313" s="472">
        <f t="shared" si="482"/>
        <v>26</v>
      </c>
      <c r="J313" s="386">
        <f t="shared" si="483"/>
        <v>15.32</v>
      </c>
      <c r="K313" s="386">
        <f t="shared" si="484"/>
        <v>41.32</v>
      </c>
      <c r="L313" s="386"/>
      <c r="M313" s="191">
        <f t="shared" si="485"/>
        <v>0.37076476282671827</v>
      </c>
      <c r="N313" s="152">
        <f t="shared" si="520"/>
        <v>3.3254522666886368</v>
      </c>
      <c r="O313" s="152">
        <f t="shared" si="478"/>
        <v>1.4550000000000001</v>
      </c>
      <c r="P313" s="191">
        <f t="shared" si="521"/>
        <v>0.22169681777924247</v>
      </c>
      <c r="Q313" s="191">
        <f t="shared" si="488"/>
        <v>15</v>
      </c>
      <c r="R313" s="191"/>
      <c r="S313" s="152">
        <f t="shared" si="489"/>
        <v>64.592090873573753</v>
      </c>
      <c r="T313" s="152">
        <f t="shared" si="522"/>
        <v>15</v>
      </c>
      <c r="U313" s="191">
        <f t="shared" si="491"/>
        <v>0.3354120640021423</v>
      </c>
      <c r="V313" s="191">
        <f t="shared" si="523"/>
        <v>0.6063218080038727</v>
      </c>
      <c r="W313" s="191">
        <f t="shared" si="493"/>
        <v>1.0290056793799405</v>
      </c>
      <c r="X313" s="175">
        <f t="shared" si="494"/>
        <v>350</v>
      </c>
      <c r="Y313" s="386">
        <f t="shared" si="480"/>
        <v>350</v>
      </c>
      <c r="AA313" s="191">
        <f t="shared" si="495"/>
        <v>0.58601117528843016</v>
      </c>
      <c r="AB313" s="153">
        <f t="shared" si="524"/>
        <v>1.7978149633522333</v>
      </c>
      <c r="AC313" s="153">
        <f t="shared" si="525"/>
        <v>0.18436944043440445</v>
      </c>
      <c r="AD313" s="153"/>
      <c r="AE313" s="153">
        <f t="shared" si="498"/>
        <v>0.46018276762402083</v>
      </c>
      <c r="AF313" s="317">
        <f t="shared" si="526"/>
        <v>2810.4775413711591</v>
      </c>
      <c r="AG313" s="463">
        <f t="shared" si="500"/>
        <v>1.2079797650130546E-2</v>
      </c>
      <c r="AI313" s="153">
        <f t="shared" si="501"/>
        <v>0.42505712113903354</v>
      </c>
      <c r="AJ313" s="153">
        <f t="shared" si="527"/>
        <v>0.42505712113903354</v>
      </c>
      <c r="AK313" s="153">
        <f t="shared" si="528"/>
        <v>1.3833714140926889</v>
      </c>
      <c r="AM313" s="317">
        <f t="shared" si="504"/>
        <v>97</v>
      </c>
      <c r="AN313" s="147">
        <f t="shared" si="505"/>
        <v>350</v>
      </c>
      <c r="AP313">
        <f t="shared" si="506"/>
        <v>97</v>
      </c>
      <c r="AQ313">
        <f t="shared" si="507"/>
        <v>350</v>
      </c>
      <c r="AS313" s="5">
        <f t="shared" si="479"/>
        <v>2.8571428571428572</v>
      </c>
      <c r="AT313" s="5">
        <f t="shared" si="508"/>
        <v>0.76837248821286819</v>
      </c>
      <c r="AU313" s="5">
        <f t="shared" si="516"/>
        <v>2.088770368929989</v>
      </c>
      <c r="AV313" s="5"/>
      <c r="AW313" s="153">
        <f t="shared" si="517"/>
        <v>0.26893037087450383</v>
      </c>
      <c r="AX313" s="153"/>
      <c r="BA313" s="147">
        <f t="shared" si="509"/>
        <v>2.7597754264171033</v>
      </c>
      <c r="BB313" s="147">
        <f t="shared" si="510"/>
        <v>7.2865177868875755</v>
      </c>
      <c r="BC313" s="5">
        <f t="shared" si="518"/>
        <v>0.1731715605010333</v>
      </c>
      <c r="BD313" s="147">
        <f t="shared" si="511"/>
        <v>0</v>
      </c>
      <c r="BQ313" s="463">
        <f t="shared" si="512"/>
        <v>3.7053999999999997E-2</v>
      </c>
      <c r="CG313" s="59">
        <f t="shared" si="513"/>
        <v>-50</v>
      </c>
      <c r="CH313">
        <f t="shared" si="514"/>
        <v>-50</v>
      </c>
    </row>
    <row r="314" spans="4:86" x14ac:dyDescent="0.25">
      <c r="E314" s="150">
        <v>98</v>
      </c>
      <c r="F314" s="191">
        <f t="shared" si="529"/>
        <v>9.8000000000000004E-2</v>
      </c>
      <c r="G314" s="191"/>
      <c r="H314" s="191">
        <f t="shared" si="519"/>
        <v>1.47</v>
      </c>
      <c r="I314" s="472">
        <f t="shared" si="482"/>
        <v>26</v>
      </c>
      <c r="J314" s="386">
        <f t="shared" si="483"/>
        <v>15.32</v>
      </c>
      <c r="K314" s="386">
        <f t="shared" si="484"/>
        <v>41.32</v>
      </c>
      <c r="L314" s="386"/>
      <c r="M314" s="191">
        <f t="shared" si="485"/>
        <v>0.37076476282671827</v>
      </c>
      <c r="N314" s="152">
        <f t="shared" si="520"/>
        <v>3.3254522666886368</v>
      </c>
      <c r="O314" s="152">
        <f t="shared" si="478"/>
        <v>1.47</v>
      </c>
      <c r="P314" s="191">
        <f t="shared" si="521"/>
        <v>0.22169681777924247</v>
      </c>
      <c r="Q314" s="191">
        <f t="shared" si="488"/>
        <v>15</v>
      </c>
      <c r="R314" s="191"/>
      <c r="S314" s="152">
        <f t="shared" si="489"/>
        <v>63.670834945713466</v>
      </c>
      <c r="T314" s="152">
        <f t="shared" si="522"/>
        <v>15</v>
      </c>
      <c r="U314" s="191">
        <f t="shared" si="491"/>
        <v>0.33886992033206131</v>
      </c>
      <c r="V314" s="191">
        <f t="shared" si="523"/>
        <v>0.61257254829257224</v>
      </c>
      <c r="W314" s="191">
        <f t="shared" si="493"/>
        <v>1.0396139853529294</v>
      </c>
      <c r="X314" s="175">
        <f t="shared" si="494"/>
        <v>350</v>
      </c>
      <c r="Y314" s="386">
        <f t="shared" si="480"/>
        <v>350</v>
      </c>
      <c r="AA314" s="191">
        <f t="shared" si="495"/>
        <v>0.58601117528843016</v>
      </c>
      <c r="AB314" s="153">
        <f t="shared" si="524"/>
        <v>1.7978149633522333</v>
      </c>
      <c r="AC314" s="153">
        <f t="shared" si="525"/>
        <v>0.18436944043440445</v>
      </c>
      <c r="AD314" s="153"/>
      <c r="AE314" s="153">
        <f t="shared" si="498"/>
        <v>0.46018276762402083</v>
      </c>
      <c r="AF314" s="317">
        <f t="shared" si="526"/>
        <v>2839.4515366430269</v>
      </c>
      <c r="AG314" s="463">
        <f t="shared" si="500"/>
        <v>1.2079797650130546E-2</v>
      </c>
      <c r="AI314" s="153">
        <f t="shared" si="501"/>
        <v>0.42724251920047229</v>
      </c>
      <c r="AJ314" s="153">
        <f t="shared" si="527"/>
        <v>0.42724251920047229</v>
      </c>
      <c r="AK314" s="153">
        <f t="shared" si="528"/>
        <v>1.3848283461336481</v>
      </c>
      <c r="AM314" s="317">
        <f t="shared" si="504"/>
        <v>98</v>
      </c>
      <c r="AN314" s="147">
        <f t="shared" si="505"/>
        <v>350</v>
      </c>
      <c r="AP314">
        <f t="shared" si="506"/>
        <v>98</v>
      </c>
      <c r="AQ314">
        <f t="shared" si="507"/>
        <v>350</v>
      </c>
      <c r="AS314" s="5">
        <f t="shared" si="479"/>
        <v>2.8571428571428572</v>
      </c>
      <c r="AT314" s="5">
        <f t="shared" si="508"/>
        <v>0.77232301547777671</v>
      </c>
      <c r="AU314" s="5">
        <f t="shared" si="516"/>
        <v>2.0848198416650803</v>
      </c>
      <c r="AV314" s="5"/>
      <c r="AW314" s="153">
        <f t="shared" si="517"/>
        <v>0.27031305541722184</v>
      </c>
      <c r="AX314" s="153"/>
      <c r="BA314" s="147">
        <f t="shared" si="509"/>
        <v>2.7597754264171033</v>
      </c>
      <c r="BB314" s="147">
        <f t="shared" si="510"/>
        <v>7.4344987591952663</v>
      </c>
      <c r="BC314" s="5">
        <f t="shared" si="518"/>
        <v>0.17462593545570759</v>
      </c>
      <c r="BD314" s="147">
        <f t="shared" si="511"/>
        <v>0</v>
      </c>
      <c r="BQ314" s="463">
        <f t="shared" si="512"/>
        <v>3.7436000000000004E-2</v>
      </c>
      <c r="CG314" s="59">
        <f t="shared" si="513"/>
        <v>-50</v>
      </c>
      <c r="CH314">
        <f t="shared" si="514"/>
        <v>-50</v>
      </c>
    </row>
    <row r="315" spans="4:86" x14ac:dyDescent="0.25">
      <c r="E315" s="150">
        <v>99</v>
      </c>
      <c r="F315" s="191">
        <f t="shared" si="529"/>
        <v>9.9000000000000005E-2</v>
      </c>
      <c r="G315" s="191"/>
      <c r="H315" s="191">
        <f t="shared" si="519"/>
        <v>1.4850000000000001</v>
      </c>
      <c r="I315" s="472">
        <f t="shared" si="482"/>
        <v>26</v>
      </c>
      <c r="J315" s="386">
        <f t="shared" si="483"/>
        <v>15.32</v>
      </c>
      <c r="K315" s="386">
        <f t="shared" si="484"/>
        <v>41.32</v>
      </c>
      <c r="L315" s="386"/>
      <c r="M315" s="191">
        <f t="shared" si="485"/>
        <v>0.37076476282671827</v>
      </c>
      <c r="N315" s="152">
        <f t="shared" si="520"/>
        <v>3.3254522666886368</v>
      </c>
      <c r="O315" s="152">
        <f t="shared" si="478"/>
        <v>1.4850000000000001</v>
      </c>
      <c r="P315" s="191">
        <f t="shared" si="521"/>
        <v>0.22169681777924247</v>
      </c>
      <c r="Q315" s="191">
        <f t="shared" si="488"/>
        <v>15</v>
      </c>
      <c r="R315" s="191"/>
      <c r="S315" s="152">
        <f t="shared" si="489"/>
        <v>62.76824240936881</v>
      </c>
      <c r="T315" s="152">
        <f t="shared" si="522"/>
        <v>15</v>
      </c>
      <c r="U315" s="191">
        <f t="shared" si="491"/>
        <v>0.34232777666198033</v>
      </c>
      <c r="V315" s="191">
        <f t="shared" si="523"/>
        <v>0.618823288581272</v>
      </c>
      <c r="W315" s="191">
        <f t="shared" si="493"/>
        <v>1.0502222913259185</v>
      </c>
      <c r="X315" s="175">
        <f t="shared" si="494"/>
        <v>350</v>
      </c>
      <c r="Y315" s="386">
        <f t="shared" si="480"/>
        <v>350</v>
      </c>
      <c r="AA315" s="191">
        <f t="shared" si="495"/>
        <v>0.58601117528843016</v>
      </c>
      <c r="AB315" s="153">
        <f t="shared" si="524"/>
        <v>1.7978149633522333</v>
      </c>
      <c r="AC315" s="153">
        <f t="shared" si="525"/>
        <v>0.18436944043440445</v>
      </c>
      <c r="AD315" s="153"/>
      <c r="AE315" s="153">
        <f t="shared" si="498"/>
        <v>0.46018276762402083</v>
      </c>
      <c r="AF315" s="317">
        <f t="shared" si="526"/>
        <v>2868.4255319148947</v>
      </c>
      <c r="AG315" s="463">
        <f t="shared" si="500"/>
        <v>1.2079797650130546E-2</v>
      </c>
      <c r="AI315" s="153">
        <f t="shared" si="501"/>
        <v>0.42941679542669131</v>
      </c>
      <c r="AJ315" s="153">
        <f t="shared" si="527"/>
        <v>0.42941679542669131</v>
      </c>
      <c r="AK315" s="153">
        <f t="shared" si="528"/>
        <v>1.3862778636177941</v>
      </c>
      <c r="AM315" s="317">
        <f t="shared" si="504"/>
        <v>99</v>
      </c>
      <c r="AN315" s="147">
        <f t="shared" si="505"/>
        <v>350</v>
      </c>
      <c r="AP315">
        <f t="shared" si="506"/>
        <v>99</v>
      </c>
      <c r="AQ315">
        <f t="shared" si="507"/>
        <v>350</v>
      </c>
      <c r="AS315" s="5">
        <f t="shared" si="479"/>
        <v>2.8571428571428572</v>
      </c>
      <c r="AT315" s="5">
        <f t="shared" si="508"/>
        <v>0.7762534378867112</v>
      </c>
      <c r="AU315" s="5">
        <f t="shared" si="516"/>
        <v>2.0808894192561462</v>
      </c>
      <c r="AV315" s="5"/>
      <c r="AW315" s="153">
        <f t="shared" si="517"/>
        <v>0.27168870326034888</v>
      </c>
      <c r="AX315" s="153"/>
      <c r="BA315" s="147">
        <f t="shared" si="509"/>
        <v>2.7597754264171033</v>
      </c>
      <c r="BB315" s="147">
        <f t="shared" si="510"/>
        <v>7.5839667158343191</v>
      </c>
      <c r="BC315" s="5">
        <f t="shared" si="518"/>
        <v>0.17607525855244319</v>
      </c>
      <c r="BD315" s="147">
        <f t="shared" si="511"/>
        <v>0</v>
      </c>
      <c r="BQ315" s="463">
        <f t="shared" si="512"/>
        <v>3.7818000000000004E-2</v>
      </c>
      <c r="CG315" s="59">
        <f t="shared" si="513"/>
        <v>-50</v>
      </c>
      <c r="CH315">
        <f t="shared" si="514"/>
        <v>-50</v>
      </c>
    </row>
    <row r="316" spans="4:86" x14ac:dyDescent="0.25">
      <c r="E316" s="150">
        <v>100</v>
      </c>
      <c r="F316" s="191">
        <f t="shared" si="529"/>
        <v>0.1</v>
      </c>
      <c r="G316" s="191"/>
      <c r="H316" s="191">
        <f t="shared" si="519"/>
        <v>1.5</v>
      </c>
      <c r="I316" s="472">
        <f t="shared" si="482"/>
        <v>26</v>
      </c>
      <c r="J316" s="386">
        <f t="shared" si="483"/>
        <v>15.32</v>
      </c>
      <c r="K316" s="386">
        <f t="shared" si="484"/>
        <v>41.32</v>
      </c>
      <c r="L316" s="386"/>
      <c r="M316" s="191">
        <f t="shared" si="485"/>
        <v>0.37076476282671827</v>
      </c>
      <c r="N316" s="152">
        <f t="shared" si="520"/>
        <v>3.3254522666886368</v>
      </c>
      <c r="O316" s="152">
        <f t="shared" si="478"/>
        <v>1.5</v>
      </c>
      <c r="P316" s="191">
        <f t="shared" si="521"/>
        <v>0.22169681777924247</v>
      </c>
      <c r="Q316" s="191">
        <f t="shared" si="488"/>
        <v>15</v>
      </c>
      <c r="R316" s="191"/>
      <c r="S316" s="152">
        <f t="shared" si="489"/>
        <v>61.883753985361679</v>
      </c>
      <c r="T316" s="152">
        <f t="shared" si="522"/>
        <v>15</v>
      </c>
      <c r="U316" s="191">
        <f t="shared" si="491"/>
        <v>0.34578563299189929</v>
      </c>
      <c r="V316" s="191">
        <f t="shared" si="523"/>
        <v>0.62507402886997177</v>
      </c>
      <c r="W316" s="191">
        <f t="shared" si="493"/>
        <v>1.0608305972989076</v>
      </c>
      <c r="X316" s="175">
        <f t="shared" si="494"/>
        <v>350</v>
      </c>
      <c r="Y316" s="386">
        <f t="shared" si="480"/>
        <v>350</v>
      </c>
      <c r="AA316" s="191">
        <f t="shared" si="495"/>
        <v>0.58601117528843016</v>
      </c>
      <c r="AB316" s="153">
        <f t="shared" si="524"/>
        <v>1.7978149633522333</v>
      </c>
      <c r="AC316" s="153">
        <f t="shared" si="525"/>
        <v>0.18436944043440445</v>
      </c>
      <c r="AD316" s="153"/>
      <c r="AE316" s="153">
        <f t="shared" si="498"/>
        <v>0.46018276762402083</v>
      </c>
      <c r="AF316" s="317">
        <f t="shared" si="526"/>
        <v>2897.399527186762</v>
      </c>
      <c r="AG316" s="463">
        <f t="shared" si="500"/>
        <v>1.2079797650130546E-2</v>
      </c>
      <c r="AI316" s="153">
        <f t="shared" si="501"/>
        <v>0.43158011791125384</v>
      </c>
      <c r="AJ316" s="153">
        <f t="shared" si="527"/>
        <v>0.43158011791125384</v>
      </c>
      <c r="AK316" s="153">
        <f t="shared" si="528"/>
        <v>1.3877200786075026</v>
      </c>
      <c r="AM316" s="317">
        <f t="shared" si="504"/>
        <v>100</v>
      </c>
      <c r="AN316" s="147">
        <f t="shared" si="505"/>
        <v>350</v>
      </c>
      <c r="AP316">
        <f t="shared" si="506"/>
        <v>100</v>
      </c>
      <c r="AQ316">
        <f t="shared" si="507"/>
        <v>350</v>
      </c>
      <c r="AS316" s="5">
        <f t="shared" si="479"/>
        <v>2.8571428571428572</v>
      </c>
      <c r="AT316" s="5">
        <f t="shared" si="508"/>
        <v>0.78016405930111277</v>
      </c>
      <c r="AU316" s="5">
        <f t="shared" si="516"/>
        <v>2.0769787978417442</v>
      </c>
      <c r="AV316" s="5"/>
      <c r="AW316" s="153">
        <f t="shared" si="517"/>
        <v>0.27305742075538947</v>
      </c>
      <c r="AX316" s="153"/>
      <c r="BA316" s="147">
        <f t="shared" si="509"/>
        <v>2.7597754264171033</v>
      </c>
      <c r="BB316" s="147">
        <f t="shared" si="510"/>
        <v>7.7349216568047341</v>
      </c>
      <c r="BC316" s="5">
        <f t="shared" si="518"/>
        <v>0.17751955537108924</v>
      </c>
      <c r="BD316" s="147">
        <f t="shared" si="511"/>
        <v>0</v>
      </c>
      <c r="BQ316" s="463">
        <f t="shared" si="512"/>
        <v>3.8200000000000005E-2</v>
      </c>
      <c r="CG316" s="59">
        <f t="shared" si="513"/>
        <v>-50</v>
      </c>
      <c r="CH316">
        <f t="shared" si="514"/>
        <v>-50</v>
      </c>
    </row>
    <row r="317" spans="4:86" x14ac:dyDescent="0.25">
      <c r="E317" s="150"/>
      <c r="F317" s="191"/>
      <c r="G317" s="191"/>
      <c r="CG317" s="59"/>
    </row>
    <row r="318" spans="4:86" x14ac:dyDescent="0.25">
      <c r="CG318" s="59"/>
    </row>
    <row r="319" spans="4:86" x14ac:dyDescent="0.25">
      <c r="D319" s="59" t="s">
        <v>824</v>
      </c>
      <c r="CG319" s="59"/>
    </row>
    <row r="320" spans="4:86" x14ac:dyDescent="0.25">
      <c r="E320" s="59" t="s">
        <v>831</v>
      </c>
      <c r="CG320" s="59"/>
    </row>
    <row r="321" spans="4:85" x14ac:dyDescent="0.25">
      <c r="F321" s="59" t="s">
        <v>826</v>
      </c>
      <c r="G321" s="59" t="s">
        <v>825</v>
      </c>
      <c r="BB321" s="59" t="s">
        <v>827</v>
      </c>
      <c r="BC321" s="59" t="s">
        <v>829</v>
      </c>
      <c r="BD321" s="59" t="s">
        <v>830</v>
      </c>
      <c r="BF321" s="59" t="s">
        <v>828</v>
      </c>
      <c r="CG321" s="59"/>
    </row>
    <row r="322" spans="4:85" x14ac:dyDescent="0.25">
      <c r="F322">
        <f>'LM(2)518x PSR flyback converter'!E57</f>
        <v>0.01</v>
      </c>
      <c r="G322" s="649">
        <f>F322*Vout</f>
        <v>0.15</v>
      </c>
      <c r="BB322">
        <f>F322*Vout</f>
        <v>0.15</v>
      </c>
      <c r="BC322" s="648">
        <v>2.2000000000000001E-7</v>
      </c>
    </row>
    <row r="323" spans="4:85" x14ac:dyDescent="0.25">
      <c r="E323" t="s">
        <v>832</v>
      </c>
    </row>
    <row r="324" spans="4:85" x14ac:dyDescent="0.25">
      <c r="F324" t="s">
        <v>833</v>
      </c>
      <c r="G324" t="s">
        <v>834</v>
      </c>
      <c r="H324" t="s">
        <v>835</v>
      </c>
      <c r="I324" s="59" t="s">
        <v>676</v>
      </c>
    </row>
    <row r="325" spans="4:85" x14ac:dyDescent="0.25">
      <c r="F325" s="648">
        <v>1.9999999999999999E-7</v>
      </c>
      <c r="G325">
        <f>VIN_max</f>
        <v>26</v>
      </c>
      <c r="H325">
        <f>15000</f>
        <v>15000</v>
      </c>
      <c r="I325">
        <f>L*0.9</f>
        <v>4.2299999999999998E-5</v>
      </c>
    </row>
    <row r="326" spans="4:85" x14ac:dyDescent="0.25">
      <c r="G326" s="59" t="s">
        <v>836</v>
      </c>
    </row>
    <row r="327" spans="4:85" x14ac:dyDescent="0.25">
      <c r="G327" s="649">
        <f>0.5*(G325/I325*F325)^2*H325*I325</f>
        <v>4.7943262411347517E-3</v>
      </c>
    </row>
    <row r="328" spans="4:85" x14ac:dyDescent="0.25">
      <c r="E328" s="59" t="s">
        <v>837</v>
      </c>
    </row>
    <row r="329" spans="4:85" x14ac:dyDescent="0.25">
      <c r="G329" t="str">
        <f>IF(G327&gt;G322, "Yes", "No")</f>
        <v>No</v>
      </c>
      <c r="H329">
        <f>(Vout*1.05)^2/(G327-G322)</f>
        <v>-1708.3526667969131</v>
      </c>
    </row>
    <row r="332" spans="4:85" x14ac:dyDescent="0.25">
      <c r="D332" s="59"/>
    </row>
    <row r="334" spans="4:85" x14ac:dyDescent="0.25">
      <c r="F334" s="317"/>
    </row>
    <row r="335" spans="4:85" x14ac:dyDescent="0.25">
      <c r="F335" s="317"/>
    </row>
    <row r="336" spans="4:85" x14ac:dyDescent="0.25">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3.2" x14ac:dyDescent="0.25"/>
  <cols>
    <col min="1" max="1" width="2.6640625" customWidth="1"/>
    <col min="2" max="2" width="3.5546875" customWidth="1"/>
    <col min="3" max="3" width="2.6640625" customWidth="1"/>
    <col min="4" max="4" width="3.6640625" customWidth="1"/>
    <col min="5" max="5" width="6.33203125" customWidth="1"/>
    <col min="6" max="6" width="9" customWidth="1"/>
    <col min="7" max="9" width="7.6640625" customWidth="1"/>
    <col min="10" max="10" width="6.33203125" customWidth="1"/>
    <col min="11" max="11" width="9.5546875" customWidth="1"/>
    <col min="12" max="12" width="9.33203125" customWidth="1"/>
    <col min="13" max="13" width="10.5546875" customWidth="1"/>
    <col min="14" max="14" width="8.44140625" customWidth="1"/>
    <col min="15" max="16" width="9.5546875" customWidth="1"/>
    <col min="17" max="18" width="8.6640625" customWidth="1"/>
    <col min="19" max="19" width="8.5546875" customWidth="1"/>
    <col min="20" max="20" width="7.5546875" customWidth="1"/>
    <col min="21" max="21" width="9" customWidth="1"/>
    <col min="22" max="22" width="8.6640625" customWidth="1"/>
    <col min="23" max="23" width="10" customWidth="1"/>
    <col min="24" max="24" width="9.5546875" customWidth="1"/>
    <col min="25" max="25" width="1.6640625" customWidth="1"/>
    <col min="26" max="26" width="9.6640625" customWidth="1"/>
    <col min="27" max="27" width="10.44140625" customWidth="1"/>
    <col min="28" max="28" width="10.33203125" customWidth="1"/>
    <col min="29" max="29" width="2" customWidth="1"/>
    <col min="30" max="30" width="9.33203125" customWidth="1"/>
    <col min="31" max="31" width="9.44140625" customWidth="1"/>
    <col min="32" max="32" width="10.44140625" customWidth="1"/>
    <col min="33" max="33" width="2.33203125" customWidth="1"/>
    <col min="35" max="35" width="8" customWidth="1"/>
    <col min="37" max="37" width="2.33203125" customWidth="1"/>
    <col min="38" max="38" width="6.5546875" customWidth="1"/>
    <col min="39" max="39" width="7.5546875" customWidth="1"/>
    <col min="40" max="40" width="2" customWidth="1"/>
    <col min="41" max="41" width="6.44140625" customWidth="1"/>
    <col min="42" max="42" width="7.5546875" customWidth="1"/>
    <col min="43" max="43" width="2.33203125" customWidth="1"/>
    <col min="44" max="46" width="7" customWidth="1"/>
    <col min="47" max="47" width="8.44140625" customWidth="1"/>
    <col min="48" max="48" width="2.33203125" customWidth="1"/>
    <col min="49" max="49" width="9.44140625" customWidth="1"/>
    <col min="50" max="50" width="12.5546875" customWidth="1"/>
    <col min="51" max="51" width="9.44140625" customWidth="1"/>
    <col min="52" max="52" width="12.6640625" customWidth="1"/>
    <col min="53" max="54" width="9.6640625" customWidth="1"/>
    <col min="55" max="55" width="2" customWidth="1"/>
    <col min="59" max="59" width="2.33203125" customWidth="1"/>
    <col min="60" max="60" width="9" customWidth="1"/>
    <col min="61" max="62" width="8.33203125" customWidth="1"/>
    <col min="63" max="63" width="8.6640625" customWidth="1"/>
    <col min="64" max="64" width="7.5546875" customWidth="1"/>
    <col min="65" max="65" width="8.5546875" customWidth="1"/>
    <col min="66" max="67" width="7.5546875" customWidth="1"/>
    <col min="68" max="69" width="10.33203125" customWidth="1"/>
    <col min="70" max="70" width="9.44140625" customWidth="1"/>
    <col min="71" max="71" width="9.5546875" customWidth="1"/>
    <col min="72" max="72" width="10" customWidth="1"/>
    <col min="73" max="73" width="8.6640625" customWidth="1"/>
    <col min="76" max="78" width="9.6640625" customWidth="1"/>
    <col min="79" max="79" width="12.33203125" customWidth="1"/>
    <col min="80" max="80" width="9.33203125" customWidth="1"/>
    <col min="82" max="82" width="7.6640625" customWidth="1"/>
    <col min="83" max="83" width="10.44140625" customWidth="1"/>
    <col min="84" max="84" width="12.44140625" bestFit="1" customWidth="1"/>
    <col min="85" max="85" width="6.5546875" customWidth="1"/>
    <col min="86" max="86" width="5" customWidth="1"/>
    <col min="87" max="87" width="9.5546875" customWidth="1"/>
  </cols>
  <sheetData>
    <row r="1" spans="2:88" x14ac:dyDescent="0.25">
      <c r="B1" s="162" t="s">
        <v>526</v>
      </c>
    </row>
    <row r="2" spans="2:88" ht="13.8" thickBot="1" x14ac:dyDescent="0.3">
      <c r="AW2">
        <f>Vout_ripple</f>
        <v>150</v>
      </c>
    </row>
    <row r="3" spans="2:88" x14ac:dyDescent="0.25">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3">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5">
      <c r="E5" s="150">
        <v>0.1</v>
      </c>
      <c r="F5" s="191">
        <v>1.0000000000000001E-9</v>
      </c>
      <c r="G5" s="191">
        <v>1.0000000000000001E-9</v>
      </c>
      <c r="H5" s="191">
        <f t="shared" ref="H5:H36" si="0">F5*Vout</f>
        <v>1.5000000000000002E-8</v>
      </c>
      <c r="I5" s="191">
        <f>G5*Vout2</f>
        <v>1.6000000000000001E-8</v>
      </c>
      <c r="J5" s="472">
        <f t="shared" ref="J5:J68" si="1">Vin</f>
        <v>15</v>
      </c>
      <c r="K5" s="386">
        <f t="shared" ref="K5:K68" si="2">(S5+Vfwd1)*Nps</f>
        <v>15.32</v>
      </c>
      <c r="L5" s="386">
        <f t="shared" ref="L5:L68" si="3">(Vout+Vfwd1)*Nps+J5</f>
        <v>30.32</v>
      </c>
      <c r="M5" s="386"/>
      <c r="N5" s="191">
        <f t="shared" ref="N5:N68" si="4">(Vout+Vfwd1)*Nps/((Vout+Vfwd1)*Nps+J5)</f>
        <v>0.50527704485488123</v>
      </c>
      <c r="O5" s="152">
        <f>N5*J5*Isw_max*0.5*Efficiency*(Pout/Pout_total)</f>
        <v>2.5579650395778364</v>
      </c>
      <c r="P5" s="152">
        <f t="shared" ref="P5:P36" si="5">N5*J5*Isw_max*0.5*Efficiency*(Pout2/Pout_total)</f>
        <v>2.7284960422163587</v>
      </c>
      <c r="Q5" s="191">
        <f t="shared" ref="Q5:Q68" si="6">O5/Vout</f>
        <v>0.17053100263852242</v>
      </c>
      <c r="R5" s="191">
        <f t="shared" ref="R5:R36" si="7">O5/Vout2</f>
        <v>0.15987281497361477</v>
      </c>
      <c r="S5" s="386">
        <f t="shared" ref="S5:S36" si="8">MIN(Vout,O5/F5)</f>
        <v>15</v>
      </c>
      <c r="T5" s="191">
        <f t="shared" ref="T5:T36" si="9">MIN(2*(Vout*F5+Vout2*G5)/(Efficiency*J5*N5), Isw_max)</f>
        <v>9.0892563581858631E-9</v>
      </c>
      <c r="U5" s="191">
        <f t="shared" ref="U5:U68" si="10">L*T5/J5*1000000</f>
        <v>2.8479669922315702E-8</v>
      </c>
      <c r="V5" s="191">
        <f t="shared" ref="V5:V68" si="11">L*T5/K5*1000000</f>
        <v>2.7884794310361327E-8</v>
      </c>
      <c r="W5" s="175">
        <f t="shared" ref="W5:W68" si="12">IF(1/((350000*L)*(1/J5+1/K5))&gt;Isw_min, 350, 0.001/((Isw_min*L)*(1/J5+1/K5)))</f>
        <v>350</v>
      </c>
      <c r="X5" s="386">
        <f>MIN(1/(U5+V5)*1000, 350)</f>
        <v>350</v>
      </c>
      <c r="Z5" s="191">
        <f t="shared" ref="Z5:Z68" si="13">1/((W5*1000*L)*(1/J5+1/K5))</f>
        <v>0.46073894667618365</v>
      </c>
      <c r="AA5" s="153">
        <f t="shared" ref="AA5:AA68" si="14">L*Z5/K5*1000000</f>
        <v>1.4134941575574826</v>
      </c>
      <c r="AB5" s="153">
        <f t="shared" ref="AB5:AB36" si="15">0.5*AA5*Z5*Nps*W5/1000*(Pout/Pout_total)</f>
        <v>0.11396906662504547</v>
      </c>
      <c r="AC5" s="153"/>
      <c r="AD5" s="153">
        <f t="shared" ref="AD5:AD68" si="16">L*Isw_min/K5*1000000</f>
        <v>0.46018276762402083</v>
      </c>
      <c r="AE5" s="317">
        <f t="shared" ref="AE5:AE36" si="17">MAX(10, F5/(0.5*AD5/1000000*Isw_min*Nps)/1000*Pout_total/Pout)</f>
        <v>10</v>
      </c>
      <c r="AF5" s="463">
        <f t="shared" ref="AF5:AF36" si="18">0.5*AD5/1000000*Isw_min*Nps*W5*1000*(Pout/Pout_total)</f>
        <v>1.2079797650130546E-2</v>
      </c>
      <c r="AH5" s="153">
        <f t="shared" ref="AH5:AH36" si="19">SQRT((H5+I5)/(0.5*L*Fsw_DCM))</f>
        <v>6.1392157157786226E-5</v>
      </c>
      <c r="AI5" s="153">
        <f t="shared" ref="AI5:AI36" si="20">MAX(IF(F5&gt;AB5,T5,AH5),Isw_min)</f>
        <v>0.15</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0.47</v>
      </c>
      <c r="AT5" s="5">
        <f>AR5-AS5</f>
        <v>99.53</v>
      </c>
      <c r="AU5" s="153">
        <f>AS5/AR5</f>
        <v>4.6999999999999993E-3</v>
      </c>
      <c r="AW5" s="5">
        <f t="shared" ref="AW5:AW36" si="26">L*Iout^2/(2*Vripple1_spec*Vout*Npri_sec1^2)*1000000000*((1+N5)/(1-N5))^2</f>
        <v>0.96692791308641945</v>
      </c>
      <c r="AX5" s="5">
        <f t="shared" ref="AX5:AX36" si="27">L*F5^2/(2*Cout*Vout*Nps^2)*1000000000*((1+N5)/(1-N5))^2+F5*RCoutEsr</f>
        <v>3.0000014503918702E-9</v>
      </c>
      <c r="AY5" s="5">
        <f t="shared" ref="AY5:AY36" si="28">L*Iout2^2/(2*Vripple2_spec*Vout2*Npri_sec2^2)*1000000000*((1+N5)/(1-N5))^2</f>
        <v>0.96440494504700414</v>
      </c>
      <c r="AZ5" s="5">
        <f t="shared" ref="AZ5:AZ36" si="29">L*G5^2/(2*Cout2*Vout2*Npri_sec2^2)*1000000000*((1+N5)/(1-N5))^2+G5*CoutEsr2</f>
        <v>2.0000007013854145E-9</v>
      </c>
      <c r="BA5" s="5">
        <f t="shared" ref="BA5:BA36" si="30">(H5+I5)/Efficiency/J5*AT5/Vinripple1</f>
        <v>3.0473382716049386E-7</v>
      </c>
      <c r="BB5" s="147">
        <f t="shared" ref="BB5:BB36" si="31">((CD5/J5/Efficiency)*AT5/Cin+(CD5/J5/Efficiency)*RCinEsr)*1000</f>
        <v>2.2861925925925925E-5</v>
      </c>
      <c r="BC5" s="5"/>
      <c r="BD5" s="153">
        <f>AI5*SQRT(AU5/3)</f>
        <v>5.9371710435189582E-3</v>
      </c>
      <c r="BE5" s="153">
        <f t="shared" ref="BE5:BE36" si="32">AI5*Npri_sec1*SQRT((1-AU5)/3)*(Pout/Pout_total)</f>
        <v>8.6398784713675222E-2</v>
      </c>
      <c r="BF5" s="153">
        <f t="shared" ref="BF5:BF36" si="33">AI5*Npri_sec2*SQRT((1-AU5)/3)*(Pout2/Pout_total)</f>
        <v>8.6511724301536239E-2</v>
      </c>
      <c r="BG5" s="153"/>
      <c r="BH5" s="463">
        <f t="shared" ref="BH5:BH68" si="34">Rdson*BD5^2</f>
        <v>1.2337499999999998E-5</v>
      </c>
      <c r="BI5" s="463">
        <f t="shared" ref="BI5:BI68" si="35">0.5*L5*AI5*AM5*1000*Trise</f>
        <v>2.2740000000000005E-4</v>
      </c>
      <c r="BJ5" s="463">
        <f t="shared" ref="BJ5:BJ68" si="36">Qg*Vdd*AM5*1000</f>
        <v>1.25E-4</v>
      </c>
      <c r="BK5" s="463">
        <f t="shared" ref="BK5:BK68" si="37">0.5*(Coss+Csw)*L5^2*AM5*1000</f>
        <v>4.5965120000000001E-4</v>
      </c>
      <c r="BL5">
        <f t="shared" ref="BL5:BL68" si="38">J5*IQ</f>
        <v>4.3499999999999997E-3</v>
      </c>
      <c r="BM5">
        <f t="shared" ref="BM5:BM36" si="39">(J5-Vdd)*Qg*AM5</f>
        <v>2.4999999999999999E-7</v>
      </c>
      <c r="BN5">
        <f t="shared" ref="BN5:BN36" si="40">(BI5+BJ5+BK5+BL5+BM5+BH5*(1+RdsonTC*(Ta-25)))/(1-BH5*RdsonTC*ThetaJA)</f>
        <v>5.1763160451864547E-3</v>
      </c>
      <c r="BO5" s="147">
        <f>BN5*1000</f>
        <v>5.1763160451864545</v>
      </c>
      <c r="BP5" s="153">
        <f t="shared" ref="BP5:BP36" si="41">(Vfwd2*F5+BE5^2*Rdiode)*(1+Diode_TC/1000*(Ta-25))</f>
        <v>5.7030693820000001E-3</v>
      </c>
      <c r="BQ5" s="153">
        <f t="shared" ref="BQ5:BQ36" si="42">(Vfwd2*G5+BF5^2*Rdiode)*(1+Diode_TC/1000*(Ta-25))</f>
        <v>5.7179891114015127E-3</v>
      </c>
      <c r="BR5" s="463"/>
      <c r="BT5" s="147">
        <f>SUM(BP5:BS5)*1000</f>
        <v>11.421058493401512</v>
      </c>
      <c r="BU5" s="463">
        <f t="shared" ref="BU5:BU68" si="43">Rdcr_pri*BD5^2</f>
        <v>3.5249999999999996E-5</v>
      </c>
      <c r="BV5" s="463">
        <f>Rdcr_sec*BE5^2</f>
        <v>7.4647499999999992E-3</v>
      </c>
      <c r="BW5" s="463">
        <f t="shared" ref="BW5:BW36" si="44">Rdcr_sec2*BF5^2</f>
        <v>3.7421392208125079E-4</v>
      </c>
      <c r="BX5" s="463">
        <f t="shared" ref="BX5:BX68" si="45">AI5^2.5*AM5^2.5*k_core</f>
        <v>0</v>
      </c>
      <c r="BY5" s="463">
        <f t="shared" ref="BY5:BY36" si="46">(BX5+(BU5+BV5+BW5)*(1+Ltc*(Ta-25)))/(1-(BU5+BV5+BW5)*Ltc*ThetaCa)</f>
        <v>8.8246785852889344E-3</v>
      </c>
      <c r="BZ5" s="463">
        <f>SUM(BU5:BX5)</f>
        <v>7.8742139220812496E-3</v>
      </c>
      <c r="CA5" s="549">
        <f t="shared" ref="CA5:CA36" si="47">0.5*Lleak*0.000000001*AI5^2*AM5*1000</f>
        <v>1.1250000000000001E-4</v>
      </c>
      <c r="CB5" s="147">
        <f>(BY5+CA5)*1000</f>
        <v>8.9371785852889349</v>
      </c>
      <c r="CC5" s="153">
        <f>SUM(BN5,BP5:BS5,BY5, CA5)</f>
        <v>2.5534553123876903E-2</v>
      </c>
      <c r="CD5" s="5">
        <f>MIN(H5+I5,O5+P5)</f>
        <v>3.1E-8</v>
      </c>
      <c r="CE5" s="153">
        <f>CD5/(CD5+CC5)</f>
        <v>1.2140397450613847E-6</v>
      </c>
      <c r="CF5" s="5">
        <f>CE5*100</f>
        <v>1.2140397450613847E-4</v>
      </c>
      <c r="CG5">
        <v>0</v>
      </c>
      <c r="CI5" s="59">
        <f t="shared" ref="CI5:CI36" si="48">IF(ABS(F5-Ioutmax_Vinnom)&lt;Iout/200, AM5, -50)</f>
        <v>-50</v>
      </c>
      <c r="CJ5">
        <f t="shared" ref="CJ5:CJ36" si="49">IF(ABS(F5-Ioutmax_Vinnom)&lt;Iout/200, (O5+P5)*CE5, -50)</f>
        <v>-50</v>
      </c>
    </row>
    <row r="6" spans="2:88" x14ac:dyDescent="0.25">
      <c r="E6" s="150">
        <v>1</v>
      </c>
      <c r="F6" s="191">
        <f>IF(PLOT_TYPE=1, E6/100*Iout, min_I*EXP(O6*rr/100))</f>
        <v>1E-3</v>
      </c>
      <c r="G6" s="191">
        <f t="shared" ref="G6:G37" si="50">IF(PLOT_TYPE=1, E6/100*Iout2, min_I*EXP(Q6*rr/100))</f>
        <v>1E-3</v>
      </c>
      <c r="H6" s="191">
        <f t="shared" si="0"/>
        <v>1.4999999999999999E-2</v>
      </c>
      <c r="I6" s="191">
        <f>G6*Vout2</f>
        <v>1.6E-2</v>
      </c>
      <c r="J6" s="472">
        <f t="shared" si="1"/>
        <v>15</v>
      </c>
      <c r="K6" s="386">
        <f t="shared" si="2"/>
        <v>15.32</v>
      </c>
      <c r="L6" s="386">
        <f t="shared" si="3"/>
        <v>30.32</v>
      </c>
      <c r="M6" s="386"/>
      <c r="N6" s="191">
        <f t="shared" si="4"/>
        <v>0.50527704485488123</v>
      </c>
      <c r="O6" s="152">
        <f t="shared" ref="O6:O37" si="51">N6*J6*Isw_max*0.5*Efficiency*Pout/(Pout+Pout2)</f>
        <v>1.237725019150566</v>
      </c>
      <c r="P6" s="152">
        <f t="shared" si="5"/>
        <v>2.7284960422163587</v>
      </c>
      <c r="Q6" s="191">
        <f t="shared" si="6"/>
        <v>8.25150012767044E-2</v>
      </c>
      <c r="R6" s="191">
        <f t="shared" si="7"/>
        <v>7.7357813696910374E-2</v>
      </c>
      <c r="S6" s="386">
        <f t="shared" si="8"/>
        <v>15</v>
      </c>
      <c r="T6" s="191">
        <f t="shared" si="9"/>
        <v>9.0892563581858633E-3</v>
      </c>
      <c r="U6" s="191">
        <f t="shared" si="10"/>
        <v>2.8479669922315706E-2</v>
      </c>
      <c r="V6" s="191">
        <f t="shared" si="11"/>
        <v>2.7884794310361328E-2</v>
      </c>
      <c r="W6" s="175">
        <f t="shared" si="12"/>
        <v>350</v>
      </c>
      <c r="X6" s="386">
        <f t="shared" ref="X6:X69" si="52">MIN(1/(U6+V6)*1000, 350)</f>
        <v>350</v>
      </c>
      <c r="Z6" s="191">
        <f t="shared" si="13"/>
        <v>0.46073894667618365</v>
      </c>
      <c r="AA6" s="153">
        <f t="shared" si="14"/>
        <v>1.4134941575574826</v>
      </c>
      <c r="AB6" s="153">
        <f t="shared" si="15"/>
        <v>0.11396906662504547</v>
      </c>
      <c r="AC6" s="153"/>
      <c r="AD6" s="153">
        <f t="shared" si="16"/>
        <v>0.46018276762402083</v>
      </c>
      <c r="AE6" s="317">
        <f t="shared" si="17"/>
        <v>28.973995271867622</v>
      </c>
      <c r="AF6" s="463">
        <f t="shared" si="18"/>
        <v>1.2079797650130546E-2</v>
      </c>
      <c r="AH6" s="153">
        <f t="shared" si="19"/>
        <v>6.1392157157786224E-2</v>
      </c>
      <c r="AI6" s="153">
        <f t="shared" si="20"/>
        <v>0.15</v>
      </c>
      <c r="AJ6" s="153">
        <f t="shared" si="21"/>
        <v>1.0165565687267815</v>
      </c>
      <c r="AL6" s="317">
        <f t="shared" si="22"/>
        <v>1</v>
      </c>
      <c r="AM6" s="147">
        <f t="shared" si="23"/>
        <v>28.973995271867622</v>
      </c>
      <c r="AO6">
        <f t="shared" ref="AO6:AO69" si="53">IF(H6&gt;O6, "",AL6)</f>
        <v>1</v>
      </c>
      <c r="AP6" s="147">
        <f t="shared" si="24"/>
        <v>28.973995271867622</v>
      </c>
      <c r="AQ6" s="147"/>
      <c r="AR6" s="5">
        <f t="shared" ref="AR6:AR69" si="54">1/AM6*1000</f>
        <v>34.513707571801554</v>
      </c>
      <c r="AS6" s="5">
        <f t="shared" si="25"/>
        <v>0.47</v>
      </c>
      <c r="AT6" s="5">
        <f t="shared" ref="AT6:AT69" si="55">AR6-AS6</f>
        <v>34.043707571801555</v>
      </c>
      <c r="AU6" s="153">
        <f t="shared" ref="AU6:AU69" si="56">AS6/AR6</f>
        <v>1.3617777777777782E-2</v>
      </c>
      <c r="AW6" s="5">
        <f t="shared" si="26"/>
        <v>0.96692791308641945</v>
      </c>
      <c r="AX6" s="5">
        <f t="shared" si="27"/>
        <v>4.4503918696296284E-3</v>
      </c>
      <c r="AY6" s="5">
        <f t="shared" si="28"/>
        <v>0.96440494504700414</v>
      </c>
      <c r="AZ6" s="5">
        <f t="shared" si="29"/>
        <v>2.701385414579639E-3</v>
      </c>
      <c r="BA6" s="5">
        <f t="shared" si="30"/>
        <v>0.10423258614576279</v>
      </c>
      <c r="BB6" s="147">
        <f t="shared" si="31"/>
        <v>7.8243328498210989</v>
      </c>
      <c r="BC6" s="5"/>
      <c r="BD6" s="153">
        <f t="shared" ref="BD6:BD69" si="57">AI6*SQRT(AU6/3)</f>
        <v>1.0106103766206508E-2</v>
      </c>
      <c r="BE6" s="153">
        <f t="shared" si="32"/>
        <v>8.601085202848921E-2</v>
      </c>
      <c r="BF6" s="153">
        <f t="shared" si="33"/>
        <v>8.6123284514800974E-2</v>
      </c>
      <c r="BG6" s="153"/>
      <c r="BH6" s="463">
        <f t="shared" si="34"/>
        <v>3.5746666666666675E-5</v>
      </c>
      <c r="BI6" s="463">
        <f t="shared" si="35"/>
        <v>6.5886865248226967E-4</v>
      </c>
      <c r="BJ6" s="463">
        <f t="shared" si="36"/>
        <v>3.6217494089834523E-4</v>
      </c>
      <c r="BK6" s="463">
        <f t="shared" si="37"/>
        <v>1.3317931695508278E-3</v>
      </c>
      <c r="BL6">
        <f t="shared" si="38"/>
        <v>4.3499999999999997E-3</v>
      </c>
      <c r="BM6">
        <f t="shared" si="39"/>
        <v>7.2434988179669049E-7</v>
      </c>
      <c r="BN6">
        <f t="shared" si="40"/>
        <v>6.7441780590876913E-3</v>
      </c>
      <c r="BO6" s="147">
        <f t="shared" ref="BO6:BO69" si="58">BN6*1000</f>
        <v>6.744178059087691</v>
      </c>
      <c r="BP6" s="153">
        <f t="shared" si="41"/>
        <v>6.0339701333333344E-3</v>
      </c>
      <c r="BQ6" s="153">
        <f t="shared" si="42"/>
        <v>6.0487561836116612E-3</v>
      </c>
      <c r="BR6" s="463"/>
      <c r="BT6" s="147">
        <f t="shared" ref="BT6:BT69" si="59">SUM(BP6:BS6)*1000</f>
        <v>12.082726316944996</v>
      </c>
      <c r="BU6" s="463">
        <f t="shared" si="43"/>
        <v>1.0213333333333337E-4</v>
      </c>
      <c r="BV6" s="463">
        <f t="shared" ref="BV6:BV68" si="60">Rdcr_sec*BE6^2</f>
        <v>7.3978666666666667E-3</v>
      </c>
      <c r="BW6" s="463">
        <f t="shared" si="44"/>
        <v>3.7086100678086786E-4</v>
      </c>
      <c r="BX6" s="463">
        <f t="shared" si="45"/>
        <v>0</v>
      </c>
      <c r="BY6" s="463">
        <f t="shared" si="46"/>
        <v>8.8209185855256771E-3</v>
      </c>
      <c r="BZ6" s="463">
        <f t="shared" ref="BZ6:BZ69" si="61">SUM(BU6:BX6)</f>
        <v>7.8708610067808674E-3</v>
      </c>
      <c r="CA6" s="549">
        <f t="shared" si="47"/>
        <v>3.259574468085108E-4</v>
      </c>
      <c r="CB6" s="147">
        <f t="shared" ref="CB6:CB69" si="62">(BY6+CA6)*1000</f>
        <v>9.1468760323341876</v>
      </c>
      <c r="CC6" s="153">
        <f t="shared" ref="CC6:CC69" si="63">SUM(BN6,BP6:BS6,BY6, CA6)</f>
        <v>2.7973780408366879E-2</v>
      </c>
      <c r="CD6" s="5">
        <f t="shared" ref="CD6:CD69" si="64">MIN(H6+I6,O6+P6)</f>
        <v>3.1E-2</v>
      </c>
      <c r="CE6" s="153">
        <f t="shared" ref="CE6:CE69" si="65">CD6/(CD6+CC6)</f>
        <v>0.52565733085684785</v>
      </c>
      <c r="CF6" s="5">
        <f t="shared" ref="CF6:CF69" si="66">CE6*100</f>
        <v>52.565733085684784</v>
      </c>
      <c r="CG6">
        <f t="shared" ref="CG6:CG37" si="67">F6/Iout*100</f>
        <v>1</v>
      </c>
      <c r="CI6" s="59">
        <f t="shared" si="48"/>
        <v>-50</v>
      </c>
      <c r="CJ6">
        <f t="shared" si="49"/>
        <v>-50</v>
      </c>
    </row>
    <row r="7" spans="2:88" x14ac:dyDescent="0.25">
      <c r="E7" s="150">
        <v>2</v>
      </c>
      <c r="F7" s="191">
        <f>IF(PLOT_TYPE=1, E7/100*Iout, min_I*EXP(O7*rr/100))</f>
        <v>2E-3</v>
      </c>
      <c r="G7" s="191">
        <f t="shared" si="50"/>
        <v>2E-3</v>
      </c>
      <c r="H7" s="191">
        <f t="shared" si="0"/>
        <v>0.03</v>
      </c>
      <c r="I7" s="191">
        <f>G7*Vout2</f>
        <v>3.2000000000000001E-2</v>
      </c>
      <c r="J7" s="472">
        <f t="shared" si="1"/>
        <v>15</v>
      </c>
      <c r="K7" s="386">
        <f t="shared" si="2"/>
        <v>15.32</v>
      </c>
      <c r="L7" s="386">
        <f t="shared" si="3"/>
        <v>30.32</v>
      </c>
      <c r="M7" s="386"/>
      <c r="N7" s="191">
        <f t="shared" si="4"/>
        <v>0.50527704485488123</v>
      </c>
      <c r="O7" s="152">
        <f t="shared" si="51"/>
        <v>1.237725019150566</v>
      </c>
      <c r="P7" s="152">
        <f t="shared" si="5"/>
        <v>2.7284960422163587</v>
      </c>
      <c r="Q7" s="191">
        <f t="shared" si="6"/>
        <v>8.25150012767044E-2</v>
      </c>
      <c r="R7" s="191">
        <f t="shared" si="7"/>
        <v>7.7357813696910374E-2</v>
      </c>
      <c r="S7" s="386">
        <f t="shared" si="8"/>
        <v>15</v>
      </c>
      <c r="T7" s="191">
        <f t="shared" si="9"/>
        <v>1.8178512716371727E-2</v>
      </c>
      <c r="U7" s="191">
        <f t="shared" si="10"/>
        <v>5.6959339844631411E-2</v>
      </c>
      <c r="V7" s="191">
        <f t="shared" si="11"/>
        <v>5.5769588620722656E-2</v>
      </c>
      <c r="W7" s="175">
        <f t="shared" si="12"/>
        <v>350</v>
      </c>
      <c r="X7" s="386">
        <f t="shared" si="52"/>
        <v>350</v>
      </c>
      <c r="Z7" s="191">
        <f t="shared" si="13"/>
        <v>0.46073894667618365</v>
      </c>
      <c r="AA7" s="153">
        <f t="shared" si="14"/>
        <v>1.4134941575574826</v>
      </c>
      <c r="AB7" s="153">
        <f t="shared" si="15"/>
        <v>0.11396906662504547</v>
      </c>
      <c r="AC7" s="153"/>
      <c r="AD7" s="153">
        <f t="shared" si="16"/>
        <v>0.46018276762402083</v>
      </c>
      <c r="AE7" s="317">
        <f t="shared" si="17"/>
        <v>57.947990543735244</v>
      </c>
      <c r="AF7" s="463">
        <f t="shared" si="18"/>
        <v>1.2079797650130546E-2</v>
      </c>
      <c r="AH7" s="153">
        <f t="shared" si="19"/>
        <v>8.6821621275881763E-2</v>
      </c>
      <c r="AI7" s="153">
        <f t="shared" si="20"/>
        <v>0.15</v>
      </c>
      <c r="AJ7" s="153">
        <f t="shared" si="21"/>
        <v>1.0331131374535629</v>
      </c>
      <c r="AL7" s="317">
        <f t="shared" si="22"/>
        <v>2</v>
      </c>
      <c r="AM7" s="147">
        <f t="shared" si="23"/>
        <v>57.947990543735244</v>
      </c>
      <c r="AO7">
        <f t="shared" si="53"/>
        <v>2</v>
      </c>
      <c r="AP7" s="147">
        <f t="shared" si="24"/>
        <v>57.947990543735244</v>
      </c>
      <c r="AQ7" s="147"/>
      <c r="AR7" s="5">
        <f t="shared" si="54"/>
        <v>17.256853785900777</v>
      </c>
      <c r="AS7" s="5">
        <f t="shared" si="25"/>
        <v>0.47</v>
      </c>
      <c r="AT7" s="5">
        <f t="shared" si="55"/>
        <v>16.786853785900778</v>
      </c>
      <c r="AU7" s="153">
        <f t="shared" si="56"/>
        <v>2.7235555555555565E-2</v>
      </c>
      <c r="AW7" s="5">
        <f t="shared" si="26"/>
        <v>0.96692791308641945</v>
      </c>
      <c r="AX7" s="5">
        <f t="shared" si="27"/>
        <v>1.1801567478518515E-2</v>
      </c>
      <c r="AY7" s="5">
        <f t="shared" si="28"/>
        <v>0.96440494504700414</v>
      </c>
      <c r="AZ7" s="5">
        <f t="shared" si="29"/>
        <v>6.8055416583185559E-3</v>
      </c>
      <c r="BA7" s="5">
        <f t="shared" si="30"/>
        <v>0.10279357380008376</v>
      </c>
      <c r="BB7" s="147">
        <f t="shared" si="31"/>
        <v>7.7232958127840607</v>
      </c>
      <c r="BC7" s="5"/>
      <c r="BD7" s="153">
        <f t="shared" si="57"/>
        <v>1.4292189008919057E-2</v>
      </c>
      <c r="BE7" s="153">
        <f t="shared" si="32"/>
        <v>8.5415065025634271E-2</v>
      </c>
      <c r="BF7" s="153">
        <f t="shared" si="33"/>
        <v>8.5526718705406346E-2</v>
      </c>
      <c r="BG7" s="153"/>
      <c r="BH7" s="463">
        <f t="shared" si="34"/>
        <v>7.1493333333333335E-5</v>
      </c>
      <c r="BI7" s="463">
        <f t="shared" si="35"/>
        <v>1.3177373049645393E-3</v>
      </c>
      <c r="BJ7" s="463">
        <f t="shared" si="36"/>
        <v>7.2434988179669046E-4</v>
      </c>
      <c r="BK7" s="463">
        <f t="shared" si="37"/>
        <v>2.6635863391016555E-3</v>
      </c>
      <c r="BL7">
        <f t="shared" si="38"/>
        <v>4.3499999999999997E-3</v>
      </c>
      <c r="BM7">
        <f t="shared" si="39"/>
        <v>1.448699763593381E-6</v>
      </c>
      <c r="BN7">
        <f t="shared" si="40"/>
        <v>9.1383876990455224E-3</v>
      </c>
      <c r="BO7" s="147">
        <f t="shared" si="58"/>
        <v>9.1383876990455217</v>
      </c>
      <c r="BP7" s="153">
        <f t="shared" si="41"/>
        <v>6.3379402666666656E-3</v>
      </c>
      <c r="BQ7" s="153">
        <f t="shared" si="42"/>
        <v>6.3525221839604712E-3</v>
      </c>
      <c r="BR7" s="463"/>
      <c r="BT7" s="147">
        <f t="shared" si="59"/>
        <v>12.690462450627136</v>
      </c>
      <c r="BU7" s="463">
        <f t="shared" si="43"/>
        <v>2.0426666666666668E-4</v>
      </c>
      <c r="BV7" s="463">
        <f t="shared" si="60"/>
        <v>7.295733333333331E-3</v>
      </c>
      <c r="BW7" s="463">
        <f t="shared" si="44"/>
        <v>3.6574098062568523E-4</v>
      </c>
      <c r="BX7" s="463">
        <f t="shared" si="45"/>
        <v>0</v>
      </c>
      <c r="BY7" s="463">
        <f t="shared" si="46"/>
        <v>8.8151769301752555E-3</v>
      </c>
      <c r="BZ7" s="463">
        <f t="shared" si="61"/>
        <v>7.8657409806256826E-3</v>
      </c>
      <c r="CA7" s="549">
        <f t="shared" si="47"/>
        <v>6.519148936170216E-4</v>
      </c>
      <c r="CB7" s="147">
        <f t="shared" si="62"/>
        <v>9.467091823792277</v>
      </c>
      <c r="CC7" s="153">
        <f t="shared" si="63"/>
        <v>3.1295941973464941E-2</v>
      </c>
      <c r="CD7" s="5">
        <f t="shared" si="64"/>
        <v>6.2E-2</v>
      </c>
      <c r="CE7" s="153">
        <f t="shared" si="65"/>
        <v>0.66455194822550723</v>
      </c>
      <c r="CF7" s="5">
        <f t="shared" si="66"/>
        <v>66.455194822550723</v>
      </c>
      <c r="CG7">
        <f t="shared" si="67"/>
        <v>2</v>
      </c>
      <c r="CI7" s="59">
        <f t="shared" si="48"/>
        <v>-50</v>
      </c>
      <c r="CJ7">
        <f t="shared" si="49"/>
        <v>-50</v>
      </c>
    </row>
    <row r="8" spans="2:88" x14ac:dyDescent="0.25">
      <c r="E8" s="150">
        <v>3</v>
      </c>
      <c r="F8" s="191">
        <f t="shared" ref="F8:F39" si="68">IF(PLOT_TYPE=1, E8/100*Iout_max, min_I*EXP(O8*rr/100))</f>
        <v>3.0000000000000001E-3</v>
      </c>
      <c r="G8" s="191">
        <f t="shared" si="50"/>
        <v>3.0000000000000001E-3</v>
      </c>
      <c r="H8" s="191">
        <f t="shared" si="0"/>
        <v>4.4999999999999998E-2</v>
      </c>
      <c r="I8" s="191">
        <f t="shared" ref="I8:I39" si="69">Vout2*G8</f>
        <v>4.8000000000000001E-2</v>
      </c>
      <c r="J8" s="472">
        <f t="shared" si="1"/>
        <v>15</v>
      </c>
      <c r="K8" s="386">
        <f t="shared" si="2"/>
        <v>15.32</v>
      </c>
      <c r="L8" s="386">
        <f t="shared" si="3"/>
        <v>30.32</v>
      </c>
      <c r="M8" s="386"/>
      <c r="N8" s="191">
        <f t="shared" si="4"/>
        <v>0.50527704485488123</v>
      </c>
      <c r="O8" s="152">
        <f t="shared" si="51"/>
        <v>1.237725019150566</v>
      </c>
      <c r="P8" s="152">
        <f t="shared" si="5"/>
        <v>2.7284960422163587</v>
      </c>
      <c r="Q8" s="191">
        <f t="shared" si="6"/>
        <v>8.25150012767044E-2</v>
      </c>
      <c r="R8" s="191">
        <f t="shared" si="7"/>
        <v>7.7357813696910374E-2</v>
      </c>
      <c r="S8" s="386">
        <f t="shared" si="8"/>
        <v>15</v>
      </c>
      <c r="T8" s="191">
        <f t="shared" si="9"/>
        <v>2.726776907455759E-2</v>
      </c>
      <c r="U8" s="191">
        <f t="shared" si="10"/>
        <v>8.5439009766947099E-2</v>
      </c>
      <c r="V8" s="191">
        <f t="shared" si="11"/>
        <v>8.3654382931083973E-2</v>
      </c>
      <c r="W8" s="175">
        <f t="shared" si="12"/>
        <v>350</v>
      </c>
      <c r="X8" s="386">
        <f t="shared" si="52"/>
        <v>350</v>
      </c>
      <c r="Z8" s="191">
        <f t="shared" si="13"/>
        <v>0.46073894667618365</v>
      </c>
      <c r="AA8" s="153">
        <f t="shared" si="14"/>
        <v>1.4134941575574826</v>
      </c>
      <c r="AB8" s="153">
        <f t="shared" si="15"/>
        <v>0.11396906662504547</v>
      </c>
      <c r="AC8" s="153"/>
      <c r="AD8" s="153">
        <f t="shared" si="16"/>
        <v>0.46018276762402083</v>
      </c>
      <c r="AE8" s="317">
        <f t="shared" si="17"/>
        <v>86.921985815602866</v>
      </c>
      <c r="AF8" s="463">
        <f t="shared" si="18"/>
        <v>1.2079797650130546E-2</v>
      </c>
      <c r="AH8" s="153">
        <f t="shared" si="19"/>
        <v>0.10633433538353906</v>
      </c>
      <c r="AI8" s="153">
        <f t="shared" si="20"/>
        <v>0.15</v>
      </c>
      <c r="AJ8" s="153">
        <f t="shared" si="21"/>
        <v>1.0496697061803446</v>
      </c>
      <c r="AL8" s="317">
        <f t="shared" si="22"/>
        <v>3</v>
      </c>
      <c r="AM8" s="147">
        <f t="shared" si="23"/>
        <v>86.921985815602866</v>
      </c>
      <c r="AO8">
        <f t="shared" si="53"/>
        <v>3</v>
      </c>
      <c r="AP8" s="147">
        <f t="shared" si="24"/>
        <v>86.921985815602866</v>
      </c>
      <c r="AQ8" s="147"/>
      <c r="AR8" s="5">
        <f t="shared" si="54"/>
        <v>11.504569190600519</v>
      </c>
      <c r="AS8" s="5">
        <f t="shared" si="25"/>
        <v>0.47</v>
      </c>
      <c r="AT8" s="5">
        <f t="shared" si="55"/>
        <v>11.034569190600518</v>
      </c>
      <c r="AU8" s="153">
        <f t="shared" si="56"/>
        <v>4.0853333333333346E-2</v>
      </c>
      <c r="AW8" s="5">
        <f t="shared" si="26"/>
        <v>0.96692791308641945</v>
      </c>
      <c r="AX8" s="5">
        <f t="shared" si="27"/>
        <v>2.2053526826666663E-2</v>
      </c>
      <c r="AY8" s="5">
        <f t="shared" si="28"/>
        <v>0.96440494504700414</v>
      </c>
      <c r="AZ8" s="5">
        <f t="shared" si="29"/>
        <v>1.2312468731216754E-2</v>
      </c>
      <c r="BA8" s="5">
        <f t="shared" si="30"/>
        <v>0.10135456145440476</v>
      </c>
      <c r="BB8" s="147">
        <f t="shared" si="31"/>
        <v>7.6222587757470244</v>
      </c>
      <c r="BC8" s="5"/>
      <c r="BD8" s="153">
        <f t="shared" si="57"/>
        <v>1.7504285189632852E-2</v>
      </c>
      <c r="BE8" s="153">
        <f t="shared" si="32"/>
        <v>8.4815092996470859E-2</v>
      </c>
      <c r="BF8" s="153">
        <f t="shared" si="33"/>
        <v>8.4925962399080623E-2</v>
      </c>
      <c r="BG8" s="153"/>
      <c r="BH8" s="463">
        <f t="shared" si="34"/>
        <v>1.0724E-4</v>
      </c>
      <c r="BI8" s="463">
        <f t="shared" si="35"/>
        <v>1.9766059574468095E-3</v>
      </c>
      <c r="BJ8" s="463">
        <f t="shared" si="36"/>
        <v>1.0865248226950357E-3</v>
      </c>
      <c r="BK8" s="463">
        <f t="shared" si="37"/>
        <v>3.9953795086524833E-3</v>
      </c>
      <c r="BL8">
        <f t="shared" si="38"/>
        <v>4.3499999999999997E-3</v>
      </c>
      <c r="BM8">
        <f t="shared" si="39"/>
        <v>2.1730496453900716E-6</v>
      </c>
      <c r="BN8">
        <f t="shared" si="40"/>
        <v>1.1532628920498361E-2</v>
      </c>
      <c r="BO8" s="147">
        <f t="shared" si="58"/>
        <v>11.532628920498361</v>
      </c>
      <c r="BP8" s="153">
        <f t="shared" si="41"/>
        <v>6.6419104000000019E-3</v>
      </c>
      <c r="BQ8" s="153">
        <f t="shared" si="42"/>
        <v>6.6562881843092846E-3</v>
      </c>
      <c r="BR8" s="463"/>
      <c r="BT8" s="147">
        <f t="shared" si="59"/>
        <v>13.298198584309286</v>
      </c>
      <c r="BU8" s="463">
        <f t="shared" si="43"/>
        <v>3.0640000000000002E-4</v>
      </c>
      <c r="BV8" s="463">
        <f t="shared" si="60"/>
        <v>7.1936000000000005E-3</v>
      </c>
      <c r="BW8" s="463">
        <f t="shared" si="44"/>
        <v>3.6062095447050282E-4</v>
      </c>
      <c r="BX8" s="463">
        <f t="shared" si="45"/>
        <v>0</v>
      </c>
      <c r="BY8" s="463">
        <f t="shared" si="46"/>
        <v>8.809435279531392E-3</v>
      </c>
      <c r="BZ8" s="463">
        <f t="shared" si="61"/>
        <v>7.8606209544705031E-3</v>
      </c>
      <c r="CA8" s="549">
        <f t="shared" si="47"/>
        <v>9.7787234042553245E-4</v>
      </c>
      <c r="CB8" s="147">
        <f t="shared" si="62"/>
        <v>9.7873076199569251</v>
      </c>
      <c r="CC8" s="153">
        <f t="shared" si="63"/>
        <v>3.4618135124764575E-2</v>
      </c>
      <c r="CD8" s="5">
        <f t="shared" si="64"/>
        <v>9.2999999999999999E-2</v>
      </c>
      <c r="CE8" s="153">
        <f t="shared" si="65"/>
        <v>0.7287365538532552</v>
      </c>
      <c r="CF8" s="5">
        <f t="shared" si="66"/>
        <v>72.87365538532552</v>
      </c>
      <c r="CG8">
        <f t="shared" si="67"/>
        <v>3</v>
      </c>
      <c r="CI8" s="59">
        <f t="shared" si="48"/>
        <v>-50</v>
      </c>
      <c r="CJ8">
        <f t="shared" si="49"/>
        <v>-50</v>
      </c>
    </row>
    <row r="9" spans="2:88" x14ac:dyDescent="0.25">
      <c r="E9" s="150">
        <v>4</v>
      </c>
      <c r="F9" s="191">
        <f t="shared" si="68"/>
        <v>4.0000000000000001E-3</v>
      </c>
      <c r="G9" s="191">
        <f t="shared" si="50"/>
        <v>4.0000000000000001E-3</v>
      </c>
      <c r="H9" s="191">
        <f t="shared" si="0"/>
        <v>0.06</v>
      </c>
      <c r="I9" s="191">
        <f t="shared" si="69"/>
        <v>6.4000000000000001E-2</v>
      </c>
      <c r="J9" s="472">
        <f t="shared" si="1"/>
        <v>15</v>
      </c>
      <c r="K9" s="386">
        <f t="shared" si="2"/>
        <v>15.32</v>
      </c>
      <c r="L9" s="386">
        <f t="shared" si="3"/>
        <v>30.32</v>
      </c>
      <c r="M9" s="386"/>
      <c r="N9" s="191">
        <f t="shared" si="4"/>
        <v>0.50527704485488123</v>
      </c>
      <c r="O9" s="152">
        <f t="shared" si="51"/>
        <v>1.237725019150566</v>
      </c>
      <c r="P9" s="152">
        <f t="shared" si="5"/>
        <v>2.7284960422163587</v>
      </c>
      <c r="Q9" s="191">
        <f t="shared" si="6"/>
        <v>8.25150012767044E-2</v>
      </c>
      <c r="R9" s="191">
        <f t="shared" si="7"/>
        <v>7.7357813696910374E-2</v>
      </c>
      <c r="S9" s="386">
        <f t="shared" si="8"/>
        <v>15</v>
      </c>
      <c r="T9" s="191">
        <f t="shared" si="9"/>
        <v>3.6357025432743453E-2</v>
      </c>
      <c r="U9" s="191">
        <f t="shared" si="10"/>
        <v>0.11391867968926282</v>
      </c>
      <c r="V9" s="191">
        <f t="shared" si="11"/>
        <v>0.11153917724144531</v>
      </c>
      <c r="W9" s="175">
        <f t="shared" si="12"/>
        <v>350</v>
      </c>
      <c r="X9" s="386">
        <f t="shared" si="52"/>
        <v>350</v>
      </c>
      <c r="Z9" s="191">
        <f t="shared" si="13"/>
        <v>0.46073894667618365</v>
      </c>
      <c r="AA9" s="153">
        <f t="shared" si="14"/>
        <v>1.4134941575574826</v>
      </c>
      <c r="AB9" s="153">
        <f t="shared" si="15"/>
        <v>0.11396906662504547</v>
      </c>
      <c r="AC9" s="153"/>
      <c r="AD9" s="153">
        <f t="shared" si="16"/>
        <v>0.46018276762402083</v>
      </c>
      <c r="AE9" s="317">
        <f t="shared" si="17"/>
        <v>115.89598108747049</v>
      </c>
      <c r="AF9" s="463">
        <f t="shared" si="18"/>
        <v>1.2079797650130546E-2</v>
      </c>
      <c r="AH9" s="153">
        <f t="shared" si="19"/>
        <v>0.12278431431557245</v>
      </c>
      <c r="AI9" s="153">
        <f t="shared" si="20"/>
        <v>0.15</v>
      </c>
      <c r="AJ9" s="153">
        <f t="shared" si="21"/>
        <v>1.0662262749071261</v>
      </c>
      <c r="AL9" s="317">
        <f t="shared" si="22"/>
        <v>4</v>
      </c>
      <c r="AM9" s="147">
        <f t="shared" si="23"/>
        <v>115.89598108747049</v>
      </c>
      <c r="AO9">
        <f t="shared" si="53"/>
        <v>4</v>
      </c>
      <c r="AP9" s="147">
        <f t="shared" si="24"/>
        <v>115.89598108747049</v>
      </c>
      <c r="AQ9" s="147"/>
      <c r="AR9" s="5">
        <f t="shared" si="54"/>
        <v>8.6284268929503884</v>
      </c>
      <c r="AS9" s="5">
        <f t="shared" si="25"/>
        <v>0.47</v>
      </c>
      <c r="AT9" s="5">
        <f t="shared" si="55"/>
        <v>8.1584268929503878</v>
      </c>
      <c r="AU9" s="153">
        <f t="shared" si="56"/>
        <v>5.447111111111113E-2</v>
      </c>
      <c r="AW9" s="5">
        <f t="shared" si="26"/>
        <v>0.96692791308641945</v>
      </c>
      <c r="AX9" s="5">
        <f t="shared" si="27"/>
        <v>3.5206269914074065E-2</v>
      </c>
      <c r="AY9" s="5">
        <f t="shared" si="28"/>
        <v>0.96440494504700414</v>
      </c>
      <c r="AZ9" s="5">
        <f t="shared" si="29"/>
        <v>1.9222166633274224E-2</v>
      </c>
      <c r="BA9" s="5">
        <f t="shared" si="30"/>
        <v>9.9915549108725743E-2</v>
      </c>
      <c r="BB9" s="147">
        <f t="shared" si="31"/>
        <v>7.5212217387099862</v>
      </c>
      <c r="BC9" s="5"/>
      <c r="BD9" s="153">
        <f t="shared" si="57"/>
        <v>2.0212207532413016E-2</v>
      </c>
      <c r="BE9" s="153">
        <f t="shared" si="32"/>
        <v>8.4210846490619398E-2</v>
      </c>
      <c r="BF9" s="153">
        <f t="shared" si="33"/>
        <v>8.4320926028515639E-2</v>
      </c>
      <c r="BG9" s="153"/>
      <c r="BH9" s="463">
        <f t="shared" si="34"/>
        <v>1.429866666666667E-4</v>
      </c>
      <c r="BI9" s="463">
        <f t="shared" si="35"/>
        <v>2.6354746099290787E-3</v>
      </c>
      <c r="BJ9" s="463">
        <f t="shared" si="36"/>
        <v>1.4486997635933809E-3</v>
      </c>
      <c r="BK9" s="463">
        <f t="shared" si="37"/>
        <v>5.327172678203311E-3</v>
      </c>
      <c r="BL9">
        <f t="shared" si="38"/>
        <v>4.3499999999999997E-3</v>
      </c>
      <c r="BM9">
        <f t="shared" si="39"/>
        <v>2.8973995271867619E-6</v>
      </c>
      <c r="BN9">
        <f t="shared" si="40"/>
        <v>1.3926901724071083E-2</v>
      </c>
      <c r="BO9" s="147">
        <f t="shared" si="58"/>
        <v>13.926901724071083</v>
      </c>
      <c r="BP9" s="153">
        <f t="shared" si="41"/>
        <v>6.945880533333333E-3</v>
      </c>
      <c r="BQ9" s="153">
        <f t="shared" si="42"/>
        <v>6.9600541846580946E-3</v>
      </c>
      <c r="BR9" s="463"/>
      <c r="BT9" s="147">
        <f t="shared" si="59"/>
        <v>13.905934717991428</v>
      </c>
      <c r="BU9" s="463">
        <f t="shared" si="43"/>
        <v>4.0853333333333347E-4</v>
      </c>
      <c r="BV9" s="463">
        <f t="shared" si="60"/>
        <v>7.0914666666666657E-3</v>
      </c>
      <c r="BW9" s="463">
        <f t="shared" si="44"/>
        <v>3.5550092831532036E-4</v>
      </c>
      <c r="BX9" s="463">
        <f t="shared" si="45"/>
        <v>0</v>
      </c>
      <c r="BY9" s="463">
        <f t="shared" si="46"/>
        <v>8.8036936335940605E-3</v>
      </c>
      <c r="BZ9" s="463">
        <f t="shared" si="61"/>
        <v>7.8555009283153183E-3</v>
      </c>
      <c r="CA9" s="549">
        <f t="shared" si="47"/>
        <v>1.3038297872340432E-3</v>
      </c>
      <c r="CB9" s="147">
        <f t="shared" si="62"/>
        <v>10.107523420828104</v>
      </c>
      <c r="CC9" s="153">
        <f t="shared" si="63"/>
        <v>3.7940359862890613E-2</v>
      </c>
      <c r="CD9" s="5">
        <f t="shared" si="64"/>
        <v>0.124</v>
      </c>
      <c r="CE9" s="153">
        <f t="shared" si="65"/>
        <v>0.76571399560298969</v>
      </c>
      <c r="CF9" s="5">
        <f t="shared" si="66"/>
        <v>76.571399560298971</v>
      </c>
      <c r="CG9">
        <f t="shared" si="67"/>
        <v>4</v>
      </c>
      <c r="CI9" s="59">
        <f t="shared" si="48"/>
        <v>-50</v>
      </c>
      <c r="CJ9">
        <f t="shared" si="49"/>
        <v>-50</v>
      </c>
    </row>
    <row r="10" spans="2:88" x14ac:dyDescent="0.25">
      <c r="E10" s="150">
        <v>5</v>
      </c>
      <c r="F10" s="191">
        <f t="shared" si="68"/>
        <v>5.000000000000001E-3</v>
      </c>
      <c r="G10" s="191">
        <f t="shared" si="50"/>
        <v>5.000000000000001E-3</v>
      </c>
      <c r="H10" s="191">
        <f t="shared" si="0"/>
        <v>7.5000000000000011E-2</v>
      </c>
      <c r="I10" s="191">
        <f t="shared" si="69"/>
        <v>8.0000000000000016E-2</v>
      </c>
      <c r="J10" s="472">
        <f t="shared" si="1"/>
        <v>15</v>
      </c>
      <c r="K10" s="386">
        <f t="shared" si="2"/>
        <v>15.32</v>
      </c>
      <c r="L10" s="386">
        <f t="shared" si="3"/>
        <v>30.32</v>
      </c>
      <c r="M10" s="386"/>
      <c r="N10" s="191">
        <f t="shared" si="4"/>
        <v>0.50527704485488123</v>
      </c>
      <c r="O10" s="152">
        <f t="shared" si="51"/>
        <v>1.237725019150566</v>
      </c>
      <c r="P10" s="152">
        <f t="shared" si="5"/>
        <v>2.7284960422163587</v>
      </c>
      <c r="Q10" s="191">
        <f t="shared" si="6"/>
        <v>8.25150012767044E-2</v>
      </c>
      <c r="R10" s="191">
        <f t="shared" si="7"/>
        <v>7.7357813696910374E-2</v>
      </c>
      <c r="S10" s="386">
        <f t="shared" si="8"/>
        <v>15</v>
      </c>
      <c r="T10" s="191">
        <f t="shared" si="9"/>
        <v>4.544628179092932E-2</v>
      </c>
      <c r="U10" s="191">
        <f t="shared" si="10"/>
        <v>0.14239834961157855</v>
      </c>
      <c r="V10" s="191">
        <f t="shared" si="11"/>
        <v>0.13942397155180666</v>
      </c>
      <c r="W10" s="175">
        <f t="shared" si="12"/>
        <v>350</v>
      </c>
      <c r="X10" s="386">
        <f t="shared" si="52"/>
        <v>350</v>
      </c>
      <c r="Z10" s="191">
        <f t="shared" si="13"/>
        <v>0.46073894667618365</v>
      </c>
      <c r="AA10" s="153">
        <f t="shared" si="14"/>
        <v>1.4134941575574826</v>
      </c>
      <c r="AB10" s="153">
        <f t="shared" si="15"/>
        <v>0.11396906662504547</v>
      </c>
      <c r="AC10" s="153"/>
      <c r="AD10" s="153">
        <f t="shared" si="16"/>
        <v>0.46018276762402083</v>
      </c>
      <c r="AE10" s="317">
        <f t="shared" si="17"/>
        <v>144.86997635933812</v>
      </c>
      <c r="AF10" s="463">
        <f t="shared" si="18"/>
        <v>1.2079797650130546E-2</v>
      </c>
      <c r="AH10" s="153">
        <f t="shared" si="19"/>
        <v>0.13727703669016031</v>
      </c>
      <c r="AI10" s="153">
        <f t="shared" si="20"/>
        <v>0.15</v>
      </c>
      <c r="AJ10" s="153">
        <f t="shared" si="21"/>
        <v>1.0827828436339075</v>
      </c>
      <c r="AL10" s="317">
        <f t="shared" si="22"/>
        <v>5.0000000000000009</v>
      </c>
      <c r="AM10" s="147">
        <f t="shared" si="23"/>
        <v>144.86997635933812</v>
      </c>
      <c r="AO10">
        <f t="shared" si="53"/>
        <v>5.0000000000000009</v>
      </c>
      <c r="AP10" s="147">
        <f t="shared" si="24"/>
        <v>144.86997635933812</v>
      </c>
      <c r="AQ10" s="147"/>
      <c r="AR10" s="5">
        <f t="shared" si="54"/>
        <v>6.9027415143603097</v>
      </c>
      <c r="AS10" s="5">
        <f t="shared" si="25"/>
        <v>0.47</v>
      </c>
      <c r="AT10" s="5">
        <f t="shared" si="55"/>
        <v>6.4327415143603099</v>
      </c>
      <c r="AU10" s="153">
        <f t="shared" si="56"/>
        <v>6.8088888888888921E-2</v>
      </c>
      <c r="AW10" s="5">
        <f t="shared" si="26"/>
        <v>0.96692791308641945</v>
      </c>
      <c r="AX10" s="5">
        <f t="shared" si="27"/>
        <v>5.1259796740740729E-2</v>
      </c>
      <c r="AY10" s="5">
        <f t="shared" si="28"/>
        <v>0.96440494504700414</v>
      </c>
      <c r="AZ10" s="5">
        <f t="shared" si="29"/>
        <v>2.7534635364490991E-2</v>
      </c>
      <c r="BA10" s="5">
        <f t="shared" si="30"/>
        <v>9.847653676304674E-2</v>
      </c>
      <c r="BB10" s="147">
        <f t="shared" si="31"/>
        <v>7.4201847016729507</v>
      </c>
      <c r="BC10" s="5"/>
      <c r="BD10" s="153">
        <f t="shared" si="57"/>
        <v>2.2597935008904394E-2</v>
      </c>
      <c r="BE10" s="153">
        <f t="shared" si="32"/>
        <v>8.3602232825046807E-2</v>
      </c>
      <c r="BF10" s="153">
        <f t="shared" si="33"/>
        <v>8.3711516789523988E-2</v>
      </c>
      <c r="BG10" s="153"/>
      <c r="BH10" s="463">
        <f t="shared" si="34"/>
        <v>1.7873333333333339E-4</v>
      </c>
      <c r="BI10" s="463">
        <f t="shared" si="35"/>
        <v>3.2943432624113491E-3</v>
      </c>
      <c r="BJ10" s="463">
        <f t="shared" si="36"/>
        <v>1.8108747044917263E-3</v>
      </c>
      <c r="BK10" s="463">
        <f t="shared" si="37"/>
        <v>6.6589658477541405E-3</v>
      </c>
      <c r="BL10">
        <f t="shared" si="38"/>
        <v>4.3499999999999997E-3</v>
      </c>
      <c r="BM10">
        <f t="shared" si="39"/>
        <v>3.6217494089834528E-6</v>
      </c>
      <c r="BN10">
        <f t="shared" si="40"/>
        <v>1.6321206110388592E-2</v>
      </c>
      <c r="BO10" s="147">
        <f t="shared" si="58"/>
        <v>16.321206110388591</v>
      </c>
      <c r="BP10" s="153">
        <f t="shared" si="41"/>
        <v>7.2498506666666676E-3</v>
      </c>
      <c r="BQ10" s="153">
        <f t="shared" si="42"/>
        <v>7.2638201850069072E-3</v>
      </c>
      <c r="BR10" s="463"/>
      <c r="BT10" s="147">
        <f t="shared" si="59"/>
        <v>14.513670851673576</v>
      </c>
      <c r="BU10" s="463">
        <f t="shared" si="43"/>
        <v>5.1066666666666686E-4</v>
      </c>
      <c r="BV10" s="463">
        <f t="shared" si="60"/>
        <v>6.9893333333333335E-3</v>
      </c>
      <c r="BW10" s="463">
        <f t="shared" si="44"/>
        <v>3.5038090216013784E-4</v>
      </c>
      <c r="BX10" s="463">
        <f t="shared" si="45"/>
        <v>0</v>
      </c>
      <c r="BY10" s="463">
        <f t="shared" si="46"/>
        <v>8.7979519923632749E-3</v>
      </c>
      <c r="BZ10" s="463">
        <f t="shared" si="61"/>
        <v>7.8503809021601388E-3</v>
      </c>
      <c r="CA10" s="549">
        <f t="shared" si="47"/>
        <v>1.6297872340425542E-3</v>
      </c>
      <c r="CB10" s="147">
        <f t="shared" si="62"/>
        <v>10.42773922640583</v>
      </c>
      <c r="CC10" s="153">
        <f t="shared" si="63"/>
        <v>4.1262616188468E-2</v>
      </c>
      <c r="CD10" s="5">
        <f t="shared" si="64"/>
        <v>0.15500000000000003</v>
      </c>
      <c r="CE10" s="153">
        <f t="shared" si="65"/>
        <v>0.78975814655989229</v>
      </c>
      <c r="CF10" s="5">
        <f t="shared" si="66"/>
        <v>78.975814655989225</v>
      </c>
      <c r="CG10">
        <f t="shared" si="67"/>
        <v>5.0000000000000009</v>
      </c>
      <c r="CI10" s="59">
        <f t="shared" si="48"/>
        <v>-50</v>
      </c>
      <c r="CJ10">
        <f t="shared" si="49"/>
        <v>-50</v>
      </c>
    </row>
    <row r="11" spans="2:88" x14ac:dyDescent="0.25">
      <c r="E11" s="150">
        <v>6</v>
      </c>
      <c r="F11" s="191">
        <f t="shared" si="68"/>
        <v>6.0000000000000001E-3</v>
      </c>
      <c r="G11" s="191">
        <f t="shared" si="50"/>
        <v>6.0000000000000001E-3</v>
      </c>
      <c r="H11" s="191">
        <f t="shared" si="0"/>
        <v>0.09</v>
      </c>
      <c r="I11" s="191">
        <f t="shared" si="69"/>
        <v>9.6000000000000002E-2</v>
      </c>
      <c r="J11" s="472">
        <f t="shared" si="1"/>
        <v>15</v>
      </c>
      <c r="K11" s="386">
        <f t="shared" si="2"/>
        <v>15.32</v>
      </c>
      <c r="L11" s="386">
        <f t="shared" si="3"/>
        <v>30.32</v>
      </c>
      <c r="M11" s="386"/>
      <c r="N11" s="191">
        <f t="shared" si="4"/>
        <v>0.50527704485488123</v>
      </c>
      <c r="O11" s="152">
        <f t="shared" si="51"/>
        <v>1.237725019150566</v>
      </c>
      <c r="P11" s="152">
        <f t="shared" si="5"/>
        <v>2.7284960422163587</v>
      </c>
      <c r="Q11" s="191">
        <f t="shared" si="6"/>
        <v>8.25150012767044E-2</v>
      </c>
      <c r="R11" s="191">
        <f t="shared" si="7"/>
        <v>7.7357813696910374E-2</v>
      </c>
      <c r="S11" s="386">
        <f t="shared" si="8"/>
        <v>15</v>
      </c>
      <c r="T11" s="191">
        <f t="shared" si="9"/>
        <v>5.453553814911518E-2</v>
      </c>
      <c r="U11" s="191">
        <f t="shared" si="10"/>
        <v>0.1708780195338942</v>
      </c>
      <c r="V11" s="191">
        <f t="shared" si="11"/>
        <v>0.16730876586216795</v>
      </c>
      <c r="W11" s="175">
        <f t="shared" si="12"/>
        <v>350</v>
      </c>
      <c r="X11" s="386">
        <f t="shared" si="52"/>
        <v>350</v>
      </c>
      <c r="Z11" s="191">
        <f t="shared" si="13"/>
        <v>0.46073894667618365</v>
      </c>
      <c r="AA11" s="153">
        <f t="shared" si="14"/>
        <v>1.4134941575574826</v>
      </c>
      <c r="AB11" s="153">
        <f t="shared" si="15"/>
        <v>0.11396906662504547</v>
      </c>
      <c r="AC11" s="153"/>
      <c r="AD11" s="153">
        <f t="shared" si="16"/>
        <v>0.46018276762402083</v>
      </c>
      <c r="AE11" s="317">
        <f t="shared" si="17"/>
        <v>173.84397163120573</v>
      </c>
      <c r="AF11" s="463">
        <f t="shared" si="18"/>
        <v>1.2079797650130546E-2</v>
      </c>
      <c r="AH11" s="153">
        <f t="shared" si="19"/>
        <v>0.15037945924533022</v>
      </c>
      <c r="AI11" s="153">
        <f t="shared" si="20"/>
        <v>0.15037945924533022</v>
      </c>
      <c r="AJ11" s="153">
        <f t="shared" si="21"/>
        <v>1.099339412360689</v>
      </c>
      <c r="AL11" s="317">
        <f t="shared" si="22"/>
        <v>6</v>
      </c>
      <c r="AM11" s="147">
        <f t="shared" si="23"/>
        <v>173.84397163120573</v>
      </c>
      <c r="AO11">
        <f t="shared" si="53"/>
        <v>6</v>
      </c>
      <c r="AP11" s="147">
        <f t="shared" si="24"/>
        <v>173.84397163120573</v>
      </c>
      <c r="AQ11" s="147"/>
      <c r="AR11" s="5">
        <f t="shared" si="54"/>
        <v>5.7522845953002593</v>
      </c>
      <c r="AS11" s="5">
        <f t="shared" si="25"/>
        <v>0.47118897230203471</v>
      </c>
      <c r="AT11" s="5">
        <f t="shared" si="55"/>
        <v>5.2810956229982242</v>
      </c>
      <c r="AU11" s="153">
        <f t="shared" si="56"/>
        <v>8.1913362333811898E-2</v>
      </c>
      <c r="AW11" s="5">
        <f t="shared" si="26"/>
        <v>0.96692791308641945</v>
      </c>
      <c r="AX11" s="5">
        <f t="shared" si="27"/>
        <v>7.0214107306666648E-2</v>
      </c>
      <c r="AY11" s="5">
        <f t="shared" si="28"/>
        <v>0.96440494504700414</v>
      </c>
      <c r="AZ11" s="5">
        <f t="shared" si="29"/>
        <v>3.7249874924867012E-2</v>
      </c>
      <c r="BA11" s="5">
        <f t="shared" si="30"/>
        <v>9.701568255581923E-2</v>
      </c>
      <c r="BB11" s="147">
        <f t="shared" si="31"/>
        <v>7.3175095250197755</v>
      </c>
      <c r="BC11" s="5"/>
      <c r="BD11" s="153">
        <f t="shared" si="57"/>
        <v>2.4848791264741706E-2</v>
      </c>
      <c r="BE11" s="153">
        <f t="shared" si="32"/>
        <v>8.3189731900361011E-2</v>
      </c>
      <c r="BF11" s="153">
        <f t="shared" si="33"/>
        <v>8.3298476647943182E-2</v>
      </c>
      <c r="BG11" s="153"/>
      <c r="BH11" s="463">
        <f t="shared" si="34"/>
        <v>2.1611184956154628E-4</v>
      </c>
      <c r="BI11" s="463">
        <f t="shared" si="35"/>
        <v>3.9632124669593252E-3</v>
      </c>
      <c r="BJ11" s="463">
        <f t="shared" si="36"/>
        <v>2.1730496453900715E-3</v>
      </c>
      <c r="BK11" s="463">
        <f t="shared" si="37"/>
        <v>7.9907590173049665E-3</v>
      </c>
      <c r="BL11">
        <f t="shared" si="38"/>
        <v>4.3499999999999997E-3</v>
      </c>
      <c r="BM11">
        <f t="shared" si="39"/>
        <v>4.3460992907801431E-6</v>
      </c>
      <c r="BN11">
        <f t="shared" si="40"/>
        <v>1.8727400889040943E-2</v>
      </c>
      <c r="BO11" s="147">
        <f t="shared" si="58"/>
        <v>18.727400889040943</v>
      </c>
      <c r="BP11" s="153">
        <f t="shared" si="41"/>
        <v>7.5792860611516117E-3</v>
      </c>
      <c r="BQ11" s="153">
        <f t="shared" si="42"/>
        <v>7.5931180658671028E-3</v>
      </c>
      <c r="BR11" s="463"/>
      <c r="BT11" s="147">
        <f t="shared" si="59"/>
        <v>15.172404127018716</v>
      </c>
      <c r="BU11" s="463">
        <f t="shared" si="43"/>
        <v>6.1746242731870369E-4</v>
      </c>
      <c r="BV11" s="463">
        <f t="shared" si="60"/>
        <v>6.9205314936539421E-3</v>
      </c>
      <c r="BW11" s="463">
        <f t="shared" si="44"/>
        <v>3.469318105933968E-4</v>
      </c>
      <c r="BX11" s="463">
        <f t="shared" si="45"/>
        <v>0</v>
      </c>
      <c r="BY11" s="463">
        <f t="shared" si="46"/>
        <v>8.8366909515032004E-3</v>
      </c>
      <c r="BZ11" s="463">
        <f t="shared" si="61"/>
        <v>7.8849257315660431E-3</v>
      </c>
      <c r="CA11" s="549">
        <f t="shared" si="47"/>
        <v>1.9656522020306548E-3</v>
      </c>
      <c r="CB11" s="147">
        <f t="shared" si="62"/>
        <v>10.802343153533855</v>
      </c>
      <c r="CC11" s="153">
        <f t="shared" si="63"/>
        <v>4.4702148169593517E-2</v>
      </c>
      <c r="CD11" s="5">
        <f t="shared" si="64"/>
        <v>0.186</v>
      </c>
      <c r="CE11" s="153">
        <f t="shared" si="65"/>
        <v>0.80623436528760839</v>
      </c>
      <c r="CF11" s="5">
        <f t="shared" si="66"/>
        <v>80.623436528760834</v>
      </c>
      <c r="CG11">
        <f t="shared" si="67"/>
        <v>6</v>
      </c>
      <c r="CI11" s="59">
        <f t="shared" si="48"/>
        <v>-50</v>
      </c>
      <c r="CJ11">
        <f t="shared" si="49"/>
        <v>-50</v>
      </c>
    </row>
    <row r="12" spans="2:88" x14ac:dyDescent="0.25">
      <c r="E12" s="150">
        <v>7</v>
      </c>
      <c r="F12" s="191">
        <f t="shared" si="68"/>
        <v>7.000000000000001E-3</v>
      </c>
      <c r="G12" s="191">
        <f t="shared" si="50"/>
        <v>7.000000000000001E-3</v>
      </c>
      <c r="H12" s="191">
        <f t="shared" si="0"/>
        <v>0.10500000000000001</v>
      </c>
      <c r="I12" s="191">
        <f t="shared" si="69"/>
        <v>0.11200000000000002</v>
      </c>
      <c r="J12" s="472">
        <f t="shared" si="1"/>
        <v>15</v>
      </c>
      <c r="K12" s="386">
        <f t="shared" si="2"/>
        <v>15.32</v>
      </c>
      <c r="L12" s="386">
        <f t="shared" si="3"/>
        <v>30.32</v>
      </c>
      <c r="M12" s="386"/>
      <c r="N12" s="191">
        <f t="shared" si="4"/>
        <v>0.50527704485488123</v>
      </c>
      <c r="O12" s="152">
        <f t="shared" si="51"/>
        <v>1.237725019150566</v>
      </c>
      <c r="P12" s="152">
        <f t="shared" si="5"/>
        <v>2.7284960422163587</v>
      </c>
      <c r="Q12" s="191">
        <f t="shared" si="6"/>
        <v>8.25150012767044E-2</v>
      </c>
      <c r="R12" s="191">
        <f t="shared" si="7"/>
        <v>7.7357813696910374E-2</v>
      </c>
      <c r="S12" s="386">
        <f t="shared" si="8"/>
        <v>15</v>
      </c>
      <c r="T12" s="191">
        <f t="shared" si="9"/>
        <v>6.3624794507301047E-2</v>
      </c>
      <c r="U12" s="191">
        <f t="shared" si="10"/>
        <v>0.19935768945620994</v>
      </c>
      <c r="V12" s="191">
        <f t="shared" si="11"/>
        <v>0.19519356017252928</v>
      </c>
      <c r="W12" s="175">
        <f t="shared" si="12"/>
        <v>350</v>
      </c>
      <c r="X12" s="386">
        <f t="shared" si="52"/>
        <v>350</v>
      </c>
      <c r="Z12" s="191">
        <f t="shared" si="13"/>
        <v>0.46073894667618365</v>
      </c>
      <c r="AA12" s="153">
        <f t="shared" si="14"/>
        <v>1.4134941575574826</v>
      </c>
      <c r="AB12" s="153">
        <f t="shared" si="15"/>
        <v>0.11396906662504547</v>
      </c>
      <c r="AC12" s="153"/>
      <c r="AD12" s="153">
        <f t="shared" si="16"/>
        <v>0.46018276762402083</v>
      </c>
      <c r="AE12" s="317">
        <f t="shared" si="17"/>
        <v>202.81796690307337</v>
      </c>
      <c r="AF12" s="463">
        <f t="shared" si="18"/>
        <v>1.2079797650130546E-2</v>
      </c>
      <c r="AH12" s="153">
        <f t="shared" si="19"/>
        <v>0.16242838028929629</v>
      </c>
      <c r="AI12" s="153">
        <f t="shared" si="20"/>
        <v>0.16242838028929629</v>
      </c>
      <c r="AJ12" s="153">
        <f t="shared" si="21"/>
        <v>1.1158959810874705</v>
      </c>
      <c r="AL12" s="317">
        <f t="shared" si="22"/>
        <v>7.0000000000000009</v>
      </c>
      <c r="AM12" s="147">
        <f t="shared" si="23"/>
        <v>202.81796690307337</v>
      </c>
      <c r="AO12">
        <f t="shared" si="53"/>
        <v>7.0000000000000009</v>
      </c>
      <c r="AP12" s="147">
        <f t="shared" si="24"/>
        <v>202.81796690307337</v>
      </c>
      <c r="AQ12" s="147"/>
      <c r="AR12" s="5">
        <f t="shared" si="54"/>
        <v>4.9305296531145073</v>
      </c>
      <c r="AS12" s="5">
        <f t="shared" si="25"/>
        <v>0.508942258239795</v>
      </c>
      <c r="AT12" s="5">
        <f t="shared" si="55"/>
        <v>4.4215873948747122</v>
      </c>
      <c r="AU12" s="153">
        <f t="shared" si="56"/>
        <v>0.10322263408725417</v>
      </c>
      <c r="AW12" s="5">
        <f t="shared" si="26"/>
        <v>0.96692791308641945</v>
      </c>
      <c r="AX12" s="5">
        <f t="shared" si="27"/>
        <v>9.2069201611851836E-2</v>
      </c>
      <c r="AY12" s="5">
        <f t="shared" si="28"/>
        <v>0.96440494504700414</v>
      </c>
      <c r="AZ12" s="5">
        <f t="shared" si="29"/>
        <v>4.8367885314402323E-2</v>
      </c>
      <c r="BA12" s="5">
        <f t="shared" si="30"/>
        <v>9.4763897746944478E-2</v>
      </c>
      <c r="BB12" s="147">
        <f t="shared" si="31"/>
        <v>7.155514553243056</v>
      </c>
      <c r="BC12" s="5"/>
      <c r="BD12" s="153">
        <f t="shared" si="57"/>
        <v>3.0129280104784946E-2</v>
      </c>
      <c r="BE12" s="153">
        <f t="shared" si="32"/>
        <v>8.8806265102762669E-2</v>
      </c>
      <c r="BF12" s="153">
        <f t="shared" si="33"/>
        <v>8.8922351723812021E-2</v>
      </c>
      <c r="BG12" s="153"/>
      <c r="BH12" s="463">
        <f t="shared" si="34"/>
        <v>3.1772073187140648E-4</v>
      </c>
      <c r="BI12" s="463">
        <f t="shared" si="35"/>
        <v>4.9942185088173606E-3</v>
      </c>
      <c r="BJ12" s="463">
        <f t="shared" si="36"/>
        <v>2.5352245862884171E-3</v>
      </c>
      <c r="BK12" s="463">
        <f t="shared" si="37"/>
        <v>9.322552186855796E-3</v>
      </c>
      <c r="BL12">
        <f t="shared" si="38"/>
        <v>4.3499999999999997E-3</v>
      </c>
      <c r="BM12">
        <f t="shared" si="39"/>
        <v>5.0704491725768344E-6</v>
      </c>
      <c r="BN12">
        <f t="shared" si="40"/>
        <v>2.1568943121930962E-2</v>
      </c>
      <c r="BO12" s="147">
        <f t="shared" si="58"/>
        <v>21.56894312193096</v>
      </c>
      <c r="BP12" s="153">
        <f t="shared" si="41"/>
        <v>8.6993262792276534E-3</v>
      </c>
      <c r="BQ12" s="153">
        <f t="shared" si="42"/>
        <v>8.7150890619753108E-3</v>
      </c>
      <c r="BR12" s="463"/>
      <c r="BT12" s="147">
        <f t="shared" si="59"/>
        <v>17.414415341202965</v>
      </c>
      <c r="BU12" s="463">
        <f t="shared" si="43"/>
        <v>9.0777351963258995E-4</v>
      </c>
      <c r="BV12" s="463">
        <f t="shared" si="60"/>
        <v>7.8865527215021634E-3</v>
      </c>
      <c r="BW12" s="463">
        <f t="shared" si="44"/>
        <v>3.9535923180466679E-4</v>
      </c>
      <c r="BX12" s="463">
        <f t="shared" si="45"/>
        <v>0</v>
      </c>
      <c r="BY12" s="463">
        <f t="shared" si="46"/>
        <v>1.0300020045258623E-2</v>
      </c>
      <c r="BZ12" s="463">
        <f t="shared" si="61"/>
        <v>9.1896854729394198E-3</v>
      </c>
      <c r="CA12" s="549">
        <f t="shared" si="47"/>
        <v>2.6754710527639473E-3</v>
      </c>
      <c r="CB12" s="147">
        <f t="shared" si="62"/>
        <v>12.975491098022571</v>
      </c>
      <c r="CC12" s="153">
        <f t="shared" si="63"/>
        <v>5.1958849561156491E-2</v>
      </c>
      <c r="CD12" s="5">
        <f t="shared" si="64"/>
        <v>0.21700000000000003</v>
      </c>
      <c r="CE12" s="153">
        <f t="shared" si="65"/>
        <v>0.8068148728107124</v>
      </c>
      <c r="CF12" s="5">
        <f t="shared" si="66"/>
        <v>80.681487281071242</v>
      </c>
      <c r="CG12">
        <f t="shared" si="67"/>
        <v>7.0000000000000009</v>
      </c>
      <c r="CI12" s="59">
        <f t="shared" si="48"/>
        <v>-50</v>
      </c>
      <c r="CJ12">
        <f t="shared" si="49"/>
        <v>-50</v>
      </c>
    </row>
    <row r="13" spans="2:88" s="59" customFormat="1" x14ac:dyDescent="0.25">
      <c r="E13" s="150">
        <v>8</v>
      </c>
      <c r="F13" s="191">
        <f t="shared" si="68"/>
        <v>8.0000000000000002E-3</v>
      </c>
      <c r="G13" s="191">
        <f t="shared" si="50"/>
        <v>8.0000000000000002E-3</v>
      </c>
      <c r="H13" s="191">
        <f t="shared" si="0"/>
        <v>0.12</v>
      </c>
      <c r="I13" s="191">
        <f t="shared" si="69"/>
        <v>0.128</v>
      </c>
      <c r="J13" s="472">
        <f t="shared" si="1"/>
        <v>15</v>
      </c>
      <c r="K13" s="386">
        <f t="shared" si="2"/>
        <v>15.32</v>
      </c>
      <c r="L13" s="386">
        <f t="shared" si="3"/>
        <v>30.32</v>
      </c>
      <c r="M13" s="386"/>
      <c r="N13" s="191">
        <f t="shared" si="4"/>
        <v>0.50527704485488123</v>
      </c>
      <c r="O13" s="152">
        <f t="shared" si="51"/>
        <v>1.237725019150566</v>
      </c>
      <c r="P13" s="152">
        <f t="shared" si="5"/>
        <v>2.7284960422163587</v>
      </c>
      <c r="Q13" s="191">
        <f t="shared" si="6"/>
        <v>8.25150012767044E-2</v>
      </c>
      <c r="R13" s="191">
        <f t="shared" si="7"/>
        <v>7.7357813696910374E-2</v>
      </c>
      <c r="S13" s="386">
        <f t="shared" si="8"/>
        <v>15</v>
      </c>
      <c r="T13" s="191">
        <f t="shared" si="9"/>
        <v>7.2714050865486907E-2</v>
      </c>
      <c r="U13" s="191">
        <f t="shared" si="10"/>
        <v>0.22783735937852564</v>
      </c>
      <c r="V13" s="191">
        <f t="shared" si="11"/>
        <v>0.22307835448289062</v>
      </c>
      <c r="W13" s="175">
        <f t="shared" si="12"/>
        <v>350</v>
      </c>
      <c r="X13" s="386">
        <f t="shared" si="52"/>
        <v>350</v>
      </c>
      <c r="Z13" s="191">
        <f t="shared" si="13"/>
        <v>0.46073894667618365</v>
      </c>
      <c r="AA13" s="153">
        <f t="shared" si="14"/>
        <v>1.4134941575574826</v>
      </c>
      <c r="AB13" s="153">
        <f t="shared" si="15"/>
        <v>0.11396906662504547</v>
      </c>
      <c r="AC13" s="469"/>
      <c r="AD13" s="153">
        <f t="shared" si="16"/>
        <v>0.46018276762402083</v>
      </c>
      <c r="AE13" s="317">
        <f t="shared" si="17"/>
        <v>231.79196217494098</v>
      </c>
      <c r="AF13" s="463">
        <f t="shared" si="18"/>
        <v>1.2079797650130546E-2</v>
      </c>
      <c r="AG13"/>
      <c r="AH13" s="153">
        <f t="shared" si="19"/>
        <v>0.17364324255176353</v>
      </c>
      <c r="AI13" s="153">
        <f t="shared" si="20"/>
        <v>0.17364324255176353</v>
      </c>
      <c r="AJ13" s="153">
        <f t="shared" si="21"/>
        <v>1.1324525498142519</v>
      </c>
      <c r="AL13" s="317">
        <f t="shared" si="22"/>
        <v>8</v>
      </c>
      <c r="AM13" s="147">
        <f t="shared" si="23"/>
        <v>231.79196217494098</v>
      </c>
      <c r="AO13">
        <f t="shared" si="53"/>
        <v>8</v>
      </c>
      <c r="AP13" s="147">
        <f t="shared" si="24"/>
        <v>231.79196217494098</v>
      </c>
      <c r="AQ13" s="147"/>
      <c r="AR13" s="5">
        <f t="shared" si="54"/>
        <v>4.3142134464751942</v>
      </c>
      <c r="AS13" s="5">
        <f t="shared" si="25"/>
        <v>0.54408215999552578</v>
      </c>
      <c r="AT13" s="5">
        <f t="shared" si="55"/>
        <v>3.7701312864796686</v>
      </c>
      <c r="AU13" s="153">
        <f t="shared" si="56"/>
        <v>0.12611387144974309</v>
      </c>
      <c r="AW13" s="5">
        <f t="shared" si="26"/>
        <v>0.96692791308641945</v>
      </c>
      <c r="AX13" s="5">
        <f t="shared" si="27"/>
        <v>0.11682507965629624</v>
      </c>
      <c r="AY13" s="5">
        <f t="shared" si="28"/>
        <v>0.96440494504700414</v>
      </c>
      <c r="AZ13" s="5">
        <f t="shared" si="29"/>
        <v>6.0888666533096901E-2</v>
      </c>
      <c r="BA13" s="5">
        <f t="shared" si="30"/>
        <v>9.2344944103403229E-2</v>
      </c>
      <c r="BB13" s="147">
        <f t="shared" si="31"/>
        <v>6.9809819188663536</v>
      </c>
      <c r="BC13" s="5"/>
      <c r="BD13" s="153">
        <f t="shared" si="57"/>
        <v>3.5602351913667896E-2</v>
      </c>
      <c r="BE13" s="153">
        <f t="shared" si="32"/>
        <v>9.3718360525097799E-2</v>
      </c>
      <c r="BF13" s="153">
        <f t="shared" si="33"/>
        <v>9.3840868185914916E-2</v>
      </c>
      <c r="BG13" s="153"/>
      <c r="BH13" s="463">
        <f t="shared" si="34"/>
        <v>4.4363461162462816E-4</v>
      </c>
      <c r="BI13" s="463">
        <f t="shared" si="35"/>
        <v>6.10176475907906E-3</v>
      </c>
      <c r="BJ13" s="463">
        <f t="shared" si="36"/>
        <v>2.8973995271867618E-3</v>
      </c>
      <c r="BK13" s="463">
        <f t="shared" si="37"/>
        <v>1.0654345356406622E-2</v>
      </c>
      <c r="BL13">
        <f t="shared" si="38"/>
        <v>4.3499999999999997E-3</v>
      </c>
      <c r="BM13">
        <f t="shared" si="39"/>
        <v>5.7947990543735239E-6</v>
      </c>
      <c r="BN13">
        <f t="shared" si="40"/>
        <v>2.4514836279632149E-2</v>
      </c>
      <c r="BO13" s="147">
        <f t="shared" si="58"/>
        <v>24.514836279632149</v>
      </c>
      <c r="BP13" s="153">
        <f t="shared" si="41"/>
        <v>9.7663121600273274E-3</v>
      </c>
      <c r="BQ13" s="153">
        <f t="shared" si="42"/>
        <v>9.7838669260011026E-3</v>
      </c>
      <c r="BR13" s="463"/>
      <c r="BT13" s="147">
        <f t="shared" si="59"/>
        <v>19.550179086028429</v>
      </c>
      <c r="BU13" s="463">
        <f t="shared" si="43"/>
        <v>1.267527461784652E-3</v>
      </c>
      <c r="BV13" s="463">
        <f t="shared" si="60"/>
        <v>8.7831310995122088E-3</v>
      </c>
      <c r="BW13" s="463">
        <f t="shared" si="44"/>
        <v>4.4030542709431293E-4</v>
      </c>
      <c r="BX13" s="463">
        <f t="shared" si="45"/>
        <v>0</v>
      </c>
      <c r="BY13" s="463">
        <f t="shared" si="46"/>
        <v>1.1759749355558249E-2</v>
      </c>
      <c r="BZ13" s="463">
        <f t="shared" si="61"/>
        <v>1.0490963988391173E-2</v>
      </c>
      <c r="CA13" s="549">
        <f t="shared" si="47"/>
        <v>3.4944928036100532E-3</v>
      </c>
      <c r="CB13" s="147">
        <f t="shared" si="62"/>
        <v>15.254242159168303</v>
      </c>
      <c r="CC13" s="153">
        <f t="shared" si="63"/>
        <v>5.9319257524828882E-2</v>
      </c>
      <c r="CD13" s="5">
        <f t="shared" si="64"/>
        <v>0.248</v>
      </c>
      <c r="CE13" s="153">
        <f t="shared" si="65"/>
        <v>0.80697839112787662</v>
      </c>
      <c r="CF13" s="5">
        <f t="shared" si="66"/>
        <v>80.697839112787662</v>
      </c>
      <c r="CG13">
        <f t="shared" si="67"/>
        <v>8</v>
      </c>
      <c r="CI13" s="59">
        <f t="shared" si="48"/>
        <v>-50</v>
      </c>
      <c r="CJ13">
        <f t="shared" si="49"/>
        <v>-50</v>
      </c>
    </row>
    <row r="14" spans="2:88" x14ac:dyDescent="0.25">
      <c r="E14" s="150">
        <v>9</v>
      </c>
      <c r="F14" s="191">
        <f t="shared" si="68"/>
        <v>8.9999999999999993E-3</v>
      </c>
      <c r="G14" s="191">
        <f t="shared" si="50"/>
        <v>8.9999999999999993E-3</v>
      </c>
      <c r="H14" s="191">
        <f t="shared" si="0"/>
        <v>0.13499999999999998</v>
      </c>
      <c r="I14" s="191">
        <f t="shared" si="69"/>
        <v>0.14399999999999999</v>
      </c>
      <c r="J14" s="472">
        <f t="shared" si="1"/>
        <v>15</v>
      </c>
      <c r="K14" s="386">
        <f t="shared" si="2"/>
        <v>15.32</v>
      </c>
      <c r="L14" s="386">
        <f t="shared" si="3"/>
        <v>30.32</v>
      </c>
      <c r="M14" s="386"/>
      <c r="N14" s="191">
        <f t="shared" si="4"/>
        <v>0.50527704485488123</v>
      </c>
      <c r="O14" s="152">
        <f t="shared" si="51"/>
        <v>1.237725019150566</v>
      </c>
      <c r="P14" s="152">
        <f t="shared" si="5"/>
        <v>2.7284960422163587</v>
      </c>
      <c r="Q14" s="191">
        <f t="shared" si="6"/>
        <v>8.25150012767044E-2</v>
      </c>
      <c r="R14" s="191">
        <f t="shared" si="7"/>
        <v>7.7357813696910374E-2</v>
      </c>
      <c r="S14" s="386">
        <f t="shared" si="8"/>
        <v>15</v>
      </c>
      <c r="T14" s="191">
        <f t="shared" si="9"/>
        <v>8.1803307223672753E-2</v>
      </c>
      <c r="U14" s="191">
        <f t="shared" si="10"/>
        <v>0.25631702930084127</v>
      </c>
      <c r="V14" s="191">
        <f t="shared" si="11"/>
        <v>0.25096314879325193</v>
      </c>
      <c r="W14" s="175">
        <f t="shared" si="12"/>
        <v>350</v>
      </c>
      <c r="X14" s="386">
        <f t="shared" si="52"/>
        <v>350</v>
      </c>
      <c r="Z14" s="191">
        <f t="shared" si="13"/>
        <v>0.46073894667618365</v>
      </c>
      <c r="AA14" s="153">
        <f t="shared" si="14"/>
        <v>1.4134941575574826</v>
      </c>
      <c r="AB14" s="153">
        <f t="shared" si="15"/>
        <v>0.11396906662504547</v>
      </c>
      <c r="AC14" s="153"/>
      <c r="AD14" s="153">
        <f t="shared" si="16"/>
        <v>0.46018276762402083</v>
      </c>
      <c r="AE14" s="317">
        <f t="shared" si="17"/>
        <v>260.76595744680856</v>
      </c>
      <c r="AF14" s="463">
        <f t="shared" si="18"/>
        <v>1.2079797650130546E-2</v>
      </c>
      <c r="AH14" s="153">
        <f t="shared" si="19"/>
        <v>0.18417647147335867</v>
      </c>
      <c r="AI14" s="153">
        <f t="shared" si="20"/>
        <v>0.18417647147335867</v>
      </c>
      <c r="AJ14" s="153">
        <f t="shared" si="21"/>
        <v>1.1490091185410334</v>
      </c>
      <c r="AL14" s="317">
        <f t="shared" si="22"/>
        <v>9</v>
      </c>
      <c r="AM14" s="147">
        <f t="shared" si="23"/>
        <v>260.76595744680856</v>
      </c>
      <c r="AO14">
        <f t="shared" si="53"/>
        <v>9</v>
      </c>
      <c r="AP14" s="147">
        <f t="shared" si="24"/>
        <v>260.76595744680856</v>
      </c>
      <c r="AQ14" s="147"/>
      <c r="AR14" s="5">
        <f t="shared" si="54"/>
        <v>3.8348563968668401</v>
      </c>
      <c r="AS14" s="5">
        <f t="shared" si="25"/>
        <v>0.57708627728319051</v>
      </c>
      <c r="AT14" s="5">
        <f t="shared" si="55"/>
        <v>3.2577701195836495</v>
      </c>
      <c r="AU14" s="153">
        <f t="shared" si="56"/>
        <v>0.15048445562516563</v>
      </c>
      <c r="AW14" s="5">
        <f t="shared" si="26"/>
        <v>0.96692791308641945</v>
      </c>
      <c r="AX14" s="5">
        <f t="shared" si="27"/>
        <v>0.14448174143999992</v>
      </c>
      <c r="AY14" s="5">
        <f t="shared" si="28"/>
        <v>0.96440494504700414</v>
      </c>
      <c r="AZ14" s="5">
        <f t="shared" si="29"/>
        <v>7.4812218580950773E-2</v>
      </c>
      <c r="BA14" s="5">
        <f t="shared" si="30"/>
        <v>8.9769665517416108E-2</v>
      </c>
      <c r="BB14" s="147">
        <f t="shared" si="31"/>
        <v>6.794724913806208</v>
      </c>
      <c r="BC14" s="5"/>
      <c r="BD14" s="153">
        <f t="shared" si="57"/>
        <v>4.1249562028645395E-2</v>
      </c>
      <c r="BE14" s="153">
        <f t="shared" si="32"/>
        <v>9.8007471724883818E-2</v>
      </c>
      <c r="BF14" s="153">
        <f t="shared" si="33"/>
        <v>9.8135586067007854E-2</v>
      </c>
      <c r="BG14" s="153"/>
      <c r="BH14" s="463">
        <f t="shared" si="34"/>
        <v>5.9553422864427235E-4</v>
      </c>
      <c r="BI14" s="463">
        <f t="shared" si="35"/>
        <v>7.2808862147154593E-3</v>
      </c>
      <c r="BJ14" s="463">
        <f t="shared" si="36"/>
        <v>3.2595744680851066E-3</v>
      </c>
      <c r="BK14" s="463">
        <f t="shared" si="37"/>
        <v>1.198613852595745E-2</v>
      </c>
      <c r="BL14">
        <f t="shared" si="38"/>
        <v>4.3499999999999997E-3</v>
      </c>
      <c r="BM14">
        <f t="shared" si="39"/>
        <v>6.5191489361702134E-6</v>
      </c>
      <c r="BN14">
        <f t="shared" si="40"/>
        <v>2.7562078119897564E-2</v>
      </c>
      <c r="BO14" s="147">
        <f t="shared" si="58"/>
        <v>27.562078119897564</v>
      </c>
      <c r="BP14" s="153">
        <f t="shared" si="41"/>
        <v>1.0776574888622581E-2</v>
      </c>
      <c r="BQ14" s="153">
        <f t="shared" si="42"/>
        <v>1.0795773245074341E-2</v>
      </c>
      <c r="BR14" s="463"/>
      <c r="BT14" s="147">
        <f t="shared" si="59"/>
        <v>21.57234813369692</v>
      </c>
      <c r="BU14" s="463">
        <f t="shared" si="43"/>
        <v>1.7015263675550639E-3</v>
      </c>
      <c r="BV14" s="463">
        <f t="shared" si="60"/>
        <v>9.6054645139039014E-3</v>
      </c>
      <c r="BW14" s="463">
        <f t="shared" si="44"/>
        <v>4.8152966263575531E-4</v>
      </c>
      <c r="BX14" s="463">
        <f t="shared" si="45"/>
        <v>0</v>
      </c>
      <c r="BY14" s="463">
        <f t="shared" si="46"/>
        <v>1.3215606405194914E-2</v>
      </c>
      <c r="BZ14" s="463">
        <f t="shared" si="61"/>
        <v>1.1788520544094721E-2</v>
      </c>
      <c r="CA14" s="549">
        <f t="shared" si="47"/>
        <v>4.4227174545689732E-3</v>
      </c>
      <c r="CB14" s="147">
        <f t="shared" si="62"/>
        <v>17.638323859763887</v>
      </c>
      <c r="CC14" s="153">
        <f t="shared" si="63"/>
        <v>6.677275011335837E-2</v>
      </c>
      <c r="CD14" s="5">
        <f t="shared" si="64"/>
        <v>0.27899999999999997</v>
      </c>
      <c r="CE14" s="153">
        <f t="shared" si="65"/>
        <v>0.80688833896983625</v>
      </c>
      <c r="CF14" s="5">
        <f t="shared" si="66"/>
        <v>80.688833896983624</v>
      </c>
      <c r="CG14">
        <f t="shared" si="67"/>
        <v>8.9999999999999982</v>
      </c>
      <c r="CI14" s="59">
        <f t="shared" si="48"/>
        <v>-50</v>
      </c>
      <c r="CJ14">
        <f t="shared" si="49"/>
        <v>-50</v>
      </c>
    </row>
    <row r="15" spans="2:88" x14ac:dyDescent="0.25">
      <c r="E15" s="150">
        <v>10</v>
      </c>
      <c r="F15" s="191">
        <f t="shared" si="68"/>
        <v>1.0000000000000002E-2</v>
      </c>
      <c r="G15" s="191">
        <f t="shared" si="50"/>
        <v>1.0000000000000002E-2</v>
      </c>
      <c r="H15" s="191">
        <f t="shared" si="0"/>
        <v>0.15000000000000002</v>
      </c>
      <c r="I15" s="191">
        <f t="shared" si="69"/>
        <v>0.16000000000000003</v>
      </c>
      <c r="J15" s="472">
        <f t="shared" si="1"/>
        <v>15</v>
      </c>
      <c r="K15" s="386">
        <f t="shared" si="2"/>
        <v>15.32</v>
      </c>
      <c r="L15" s="386">
        <f t="shared" si="3"/>
        <v>30.32</v>
      </c>
      <c r="M15" s="386"/>
      <c r="N15" s="191">
        <f t="shared" si="4"/>
        <v>0.50527704485488123</v>
      </c>
      <c r="O15" s="152">
        <f t="shared" si="51"/>
        <v>1.237725019150566</v>
      </c>
      <c r="P15" s="152">
        <f t="shared" si="5"/>
        <v>2.7284960422163587</v>
      </c>
      <c r="Q15" s="191">
        <f t="shared" si="6"/>
        <v>8.25150012767044E-2</v>
      </c>
      <c r="R15" s="191">
        <f t="shared" si="7"/>
        <v>7.7357813696910374E-2</v>
      </c>
      <c r="S15" s="386">
        <f t="shared" si="8"/>
        <v>15</v>
      </c>
      <c r="T15" s="191">
        <f t="shared" si="9"/>
        <v>9.089256358185864E-2</v>
      </c>
      <c r="U15" s="191">
        <f t="shared" si="10"/>
        <v>0.28479669922315709</v>
      </c>
      <c r="V15" s="191">
        <f t="shared" si="11"/>
        <v>0.27884794310361333</v>
      </c>
      <c r="W15" s="175">
        <f t="shared" si="12"/>
        <v>350</v>
      </c>
      <c r="X15" s="386">
        <f t="shared" si="52"/>
        <v>350</v>
      </c>
      <c r="Z15" s="191">
        <f t="shared" si="13"/>
        <v>0.46073894667618365</v>
      </c>
      <c r="AA15" s="153">
        <f t="shared" si="14"/>
        <v>1.4134941575574826</v>
      </c>
      <c r="AB15" s="153">
        <f t="shared" si="15"/>
        <v>0.11396906662504547</v>
      </c>
      <c r="AC15" s="153"/>
      <c r="AD15" s="153">
        <f t="shared" si="16"/>
        <v>0.46018276762402083</v>
      </c>
      <c r="AE15" s="317">
        <f t="shared" si="17"/>
        <v>289.73995271867625</v>
      </c>
      <c r="AF15" s="463">
        <f t="shared" si="18"/>
        <v>1.2079797650130546E-2</v>
      </c>
      <c r="AH15" s="153">
        <f t="shared" si="19"/>
        <v>0.19413904708961366</v>
      </c>
      <c r="AI15" s="153">
        <f t="shared" si="20"/>
        <v>0.19413904708961366</v>
      </c>
      <c r="AJ15" s="153">
        <f t="shared" si="21"/>
        <v>1.1655656872678151</v>
      </c>
      <c r="AL15" s="317">
        <f t="shared" si="22"/>
        <v>10.000000000000002</v>
      </c>
      <c r="AM15" s="147">
        <f t="shared" si="23"/>
        <v>289.73995271867625</v>
      </c>
      <c r="AO15">
        <f t="shared" si="53"/>
        <v>10.000000000000002</v>
      </c>
      <c r="AP15" s="147">
        <f t="shared" si="24"/>
        <v>289.73995271867625</v>
      </c>
      <c r="AQ15" s="147"/>
      <c r="AR15" s="5">
        <f t="shared" si="54"/>
        <v>3.4513707571801548</v>
      </c>
      <c r="AS15" s="5">
        <f t="shared" si="25"/>
        <v>0.60830234754745616</v>
      </c>
      <c r="AT15" s="5">
        <f t="shared" si="55"/>
        <v>2.8430684096326986</v>
      </c>
      <c r="AU15" s="153">
        <f t="shared" si="56"/>
        <v>0.17624949341705973</v>
      </c>
      <c r="AW15" s="5">
        <f t="shared" si="26"/>
        <v>0.96692791308641945</v>
      </c>
      <c r="AX15" s="5">
        <f t="shared" si="27"/>
        <v>0.17503918696296292</v>
      </c>
      <c r="AY15" s="5">
        <f t="shared" si="28"/>
        <v>0.96440494504700414</v>
      </c>
      <c r="AZ15" s="5">
        <f t="shared" si="29"/>
        <v>9.0138541457963961E-2</v>
      </c>
      <c r="BA15" s="5">
        <f t="shared" si="30"/>
        <v>8.7047032788754239E-2</v>
      </c>
      <c r="BB15" s="147">
        <f t="shared" si="31"/>
        <v>6.5974163480454573</v>
      </c>
      <c r="BC15" s="5"/>
      <c r="BD15" s="153">
        <f t="shared" si="57"/>
        <v>4.7056129780513267E-2</v>
      </c>
      <c r="BE15" s="153">
        <f t="shared" si="32"/>
        <v>0.10173025042582254</v>
      </c>
      <c r="BF15" s="153">
        <f t="shared" si="33"/>
        <v>0.10186323114533341</v>
      </c>
      <c r="BG15" s="153"/>
      <c r="BH15" s="463">
        <f t="shared" si="34"/>
        <v>7.7499777247217762E-4</v>
      </c>
      <c r="BI15" s="463">
        <f t="shared" si="35"/>
        <v>8.527475490008379E-3</v>
      </c>
      <c r="BJ15" s="463">
        <f t="shared" si="36"/>
        <v>3.6217494089834526E-3</v>
      </c>
      <c r="BK15" s="463">
        <f t="shared" si="37"/>
        <v>1.3317931695508281E-2</v>
      </c>
      <c r="BL15">
        <f t="shared" si="38"/>
        <v>4.3499999999999997E-3</v>
      </c>
      <c r="BM15">
        <f t="shared" si="39"/>
        <v>7.2434988179669055E-6</v>
      </c>
      <c r="BN15">
        <f t="shared" si="40"/>
        <v>3.0708413471724781E-2</v>
      </c>
      <c r="BO15" s="147">
        <f t="shared" si="58"/>
        <v>30.708413471724782</v>
      </c>
      <c r="BP15" s="153">
        <f t="shared" si="41"/>
        <v>1.1726669502699235E-2</v>
      </c>
      <c r="BQ15" s="153">
        <f t="shared" si="42"/>
        <v>1.1747354044556867E-2</v>
      </c>
      <c r="BR15" s="463"/>
      <c r="BT15" s="147">
        <f t="shared" si="59"/>
        <v>23.474023547256103</v>
      </c>
      <c r="BU15" s="463">
        <f t="shared" si="43"/>
        <v>2.2142793499205075E-3</v>
      </c>
      <c r="BV15" s="463">
        <f t="shared" si="60"/>
        <v>1.0349043851700566E-2</v>
      </c>
      <c r="BW15" s="463">
        <f t="shared" si="44"/>
        <v>5.1880589296838121E-4</v>
      </c>
      <c r="BX15" s="463">
        <f t="shared" si="45"/>
        <v>0</v>
      </c>
      <c r="BY15" s="463">
        <f t="shared" si="46"/>
        <v>1.4667334983518429E-2</v>
      </c>
      <c r="BZ15" s="463">
        <f t="shared" si="61"/>
        <v>1.3082129094589454E-2</v>
      </c>
      <c r="CA15" s="549">
        <f t="shared" si="47"/>
        <v>5.4601450056407106E-3</v>
      </c>
      <c r="CB15" s="147">
        <f t="shared" si="62"/>
        <v>20.127479989159141</v>
      </c>
      <c r="CC15" s="153">
        <f t="shared" si="63"/>
        <v>7.430991700814002E-2</v>
      </c>
      <c r="CD15" s="5">
        <f t="shared" si="64"/>
        <v>0.31000000000000005</v>
      </c>
      <c r="CE15" s="153">
        <f t="shared" si="65"/>
        <v>0.80664064672948299</v>
      </c>
      <c r="CF15" s="5">
        <f t="shared" si="66"/>
        <v>80.6640646729483</v>
      </c>
      <c r="CG15">
        <f t="shared" si="67"/>
        <v>10.000000000000002</v>
      </c>
      <c r="CI15" s="59">
        <f t="shared" si="48"/>
        <v>-50</v>
      </c>
      <c r="CJ15">
        <f t="shared" si="49"/>
        <v>-50</v>
      </c>
    </row>
    <row r="16" spans="2:88" x14ac:dyDescent="0.25">
      <c r="E16" s="150">
        <v>11</v>
      </c>
      <c r="F16" s="191">
        <f t="shared" si="68"/>
        <v>1.1000000000000001E-2</v>
      </c>
      <c r="G16" s="191">
        <f t="shared" si="50"/>
        <v>1.1000000000000001E-2</v>
      </c>
      <c r="H16" s="191">
        <f t="shared" si="0"/>
        <v>0.16500000000000001</v>
      </c>
      <c r="I16" s="191">
        <f t="shared" si="69"/>
        <v>0.17600000000000002</v>
      </c>
      <c r="J16" s="472">
        <f t="shared" si="1"/>
        <v>15</v>
      </c>
      <c r="K16" s="386">
        <f t="shared" si="2"/>
        <v>15.32</v>
      </c>
      <c r="L16" s="386">
        <f t="shared" si="3"/>
        <v>30.32</v>
      </c>
      <c r="M16" s="386"/>
      <c r="N16" s="191">
        <f t="shared" si="4"/>
        <v>0.50527704485488123</v>
      </c>
      <c r="O16" s="152">
        <f t="shared" si="51"/>
        <v>1.237725019150566</v>
      </c>
      <c r="P16" s="152">
        <f t="shared" si="5"/>
        <v>2.7284960422163587</v>
      </c>
      <c r="Q16" s="191">
        <f t="shared" si="6"/>
        <v>8.25150012767044E-2</v>
      </c>
      <c r="R16" s="191">
        <f t="shared" si="7"/>
        <v>7.7357813696910374E-2</v>
      </c>
      <c r="S16" s="386">
        <f t="shared" si="8"/>
        <v>15</v>
      </c>
      <c r="T16" s="191">
        <f t="shared" si="9"/>
        <v>9.99818199400445E-2</v>
      </c>
      <c r="U16" s="191">
        <f t="shared" si="10"/>
        <v>0.31327636914547274</v>
      </c>
      <c r="V16" s="191">
        <f t="shared" si="11"/>
        <v>0.30673273741397461</v>
      </c>
      <c r="W16" s="175">
        <f t="shared" si="12"/>
        <v>350</v>
      </c>
      <c r="X16" s="386">
        <f t="shared" si="52"/>
        <v>350</v>
      </c>
      <c r="Z16" s="191">
        <f t="shared" si="13"/>
        <v>0.46073894667618365</v>
      </c>
      <c r="AA16" s="153">
        <f t="shared" si="14"/>
        <v>1.4134941575574826</v>
      </c>
      <c r="AB16" s="153">
        <f t="shared" si="15"/>
        <v>0.11396906662504547</v>
      </c>
      <c r="AC16" s="153"/>
      <c r="AD16" s="153">
        <f t="shared" si="16"/>
        <v>0.46018276762402083</v>
      </c>
      <c r="AE16" s="317">
        <f t="shared" si="17"/>
        <v>318.71394799054383</v>
      </c>
      <c r="AF16" s="463">
        <f t="shared" si="18"/>
        <v>1.2079797650130546E-2</v>
      </c>
      <c r="AH16" s="153">
        <f t="shared" si="19"/>
        <v>0.20361475036290852</v>
      </c>
      <c r="AI16" s="153">
        <f t="shared" si="20"/>
        <v>0.20361475036290852</v>
      </c>
      <c r="AJ16" s="153">
        <f t="shared" si="21"/>
        <v>1.1821222559945965</v>
      </c>
      <c r="AL16" s="317">
        <f t="shared" si="22"/>
        <v>11.000000000000002</v>
      </c>
      <c r="AM16" s="147">
        <f t="shared" si="23"/>
        <v>318.71394799054383</v>
      </c>
      <c r="AO16">
        <f t="shared" si="53"/>
        <v>11.000000000000002</v>
      </c>
      <c r="AP16" s="147">
        <f t="shared" si="24"/>
        <v>318.71394799054383</v>
      </c>
      <c r="AQ16" s="147"/>
      <c r="AR16" s="5">
        <f t="shared" si="54"/>
        <v>3.1376097792546869</v>
      </c>
      <c r="AS16" s="5">
        <f t="shared" si="25"/>
        <v>0.63799288447044666</v>
      </c>
      <c r="AT16" s="5">
        <f t="shared" si="55"/>
        <v>2.4996168947842401</v>
      </c>
      <c r="AU16" s="153">
        <f t="shared" si="56"/>
        <v>0.20333723099945097</v>
      </c>
      <c r="AW16" s="5">
        <f t="shared" si="26"/>
        <v>0.96692791308641945</v>
      </c>
      <c r="AX16" s="5">
        <f t="shared" si="27"/>
        <v>0.20849741622518517</v>
      </c>
      <c r="AY16" s="5">
        <f t="shared" si="28"/>
        <v>0.96440494504700414</v>
      </c>
      <c r="AZ16" s="5">
        <f t="shared" si="29"/>
        <v>0.10686763516413637</v>
      </c>
      <c r="BA16" s="5">
        <f t="shared" si="30"/>
        <v>8.4184628258906255E-2</v>
      </c>
      <c r="BB16" s="147">
        <f t="shared" si="31"/>
        <v>6.3896248971957466</v>
      </c>
      <c r="BC16" s="5"/>
      <c r="BD16" s="153">
        <f t="shared" si="57"/>
        <v>5.3009909329913646E-2</v>
      </c>
      <c r="BE16" s="153">
        <f t="shared" si="32"/>
        <v>0.1049266650314281</v>
      </c>
      <c r="BF16" s="153">
        <f t="shared" si="33"/>
        <v>0.10506382407068487</v>
      </c>
      <c r="BG16" s="153"/>
      <c r="BH16" s="463">
        <f t="shared" si="34"/>
        <v>9.8351767050798306E-4</v>
      </c>
      <c r="BI16" s="463">
        <f t="shared" si="35"/>
        <v>9.8380609211223737E-3</v>
      </c>
      <c r="BJ16" s="463">
        <f t="shared" si="36"/>
        <v>3.9839243498817978E-3</v>
      </c>
      <c r="BK16" s="463">
        <f t="shared" si="37"/>
        <v>1.4649724865059107E-2</v>
      </c>
      <c r="BL16">
        <f t="shared" si="38"/>
        <v>4.3499999999999997E-3</v>
      </c>
      <c r="BM16">
        <f t="shared" si="39"/>
        <v>7.9678486997635959E-6</v>
      </c>
      <c r="BN16">
        <f t="shared" si="40"/>
        <v>3.3952131460958983E-2</v>
      </c>
      <c r="BO16" s="147">
        <f t="shared" si="58"/>
        <v>33.952131460958981</v>
      </c>
      <c r="BP16" s="153">
        <f t="shared" si="41"/>
        <v>1.2613338246447784E-2</v>
      </c>
      <c r="BQ16" s="153">
        <f t="shared" si="42"/>
        <v>1.2635343046063849E-2</v>
      </c>
      <c r="BR16" s="463"/>
      <c r="BT16" s="147">
        <f t="shared" si="59"/>
        <v>25.248681292511634</v>
      </c>
      <c r="BU16" s="463">
        <f t="shared" si="43"/>
        <v>2.810050487165666E-3</v>
      </c>
      <c r="BV16" s="463">
        <f t="shared" si="60"/>
        <v>1.1009605034617516E-2</v>
      </c>
      <c r="BW16" s="463">
        <f t="shared" si="44"/>
        <v>5.5192035641779113E-4</v>
      </c>
      <c r="BX16" s="463">
        <f t="shared" si="45"/>
        <v>0</v>
      </c>
      <c r="BY16" s="463">
        <f t="shared" si="46"/>
        <v>1.6114692465626985E-2</v>
      </c>
      <c r="BZ16" s="463">
        <f t="shared" si="61"/>
        <v>1.4371575878200975E-2</v>
      </c>
      <c r="CA16" s="549">
        <f t="shared" si="47"/>
        <v>6.6067754568252569E-3</v>
      </c>
      <c r="CB16" s="147">
        <f t="shared" si="62"/>
        <v>22.721467922452241</v>
      </c>
      <c r="CC16" s="153">
        <f t="shared" si="63"/>
        <v>8.1922280675922859E-2</v>
      </c>
      <c r="CD16" s="5">
        <f t="shared" si="64"/>
        <v>0.34100000000000003</v>
      </c>
      <c r="CE16" s="153">
        <f t="shared" si="65"/>
        <v>0.80629471555626486</v>
      </c>
      <c r="CF16" s="5">
        <f t="shared" si="66"/>
        <v>80.62947155562648</v>
      </c>
      <c r="CG16">
        <f t="shared" si="67"/>
        <v>11</v>
      </c>
      <c r="CI16" s="59">
        <f t="shared" si="48"/>
        <v>-50</v>
      </c>
      <c r="CJ16">
        <f t="shared" si="49"/>
        <v>-50</v>
      </c>
    </row>
    <row r="17" spans="5:88" x14ac:dyDescent="0.25">
      <c r="E17" s="150">
        <v>12</v>
      </c>
      <c r="F17" s="191">
        <f t="shared" si="68"/>
        <v>1.2E-2</v>
      </c>
      <c r="G17" s="191">
        <f t="shared" si="50"/>
        <v>1.2E-2</v>
      </c>
      <c r="H17" s="191">
        <f t="shared" si="0"/>
        <v>0.18</v>
      </c>
      <c r="I17" s="191">
        <f t="shared" si="69"/>
        <v>0.192</v>
      </c>
      <c r="J17" s="472">
        <f t="shared" si="1"/>
        <v>15</v>
      </c>
      <c r="K17" s="386">
        <f t="shared" si="2"/>
        <v>15.32</v>
      </c>
      <c r="L17" s="386">
        <f t="shared" si="3"/>
        <v>30.32</v>
      </c>
      <c r="M17" s="386"/>
      <c r="N17" s="191">
        <f t="shared" si="4"/>
        <v>0.50527704485488123</v>
      </c>
      <c r="O17" s="152">
        <f t="shared" si="51"/>
        <v>1.237725019150566</v>
      </c>
      <c r="P17" s="152">
        <f t="shared" si="5"/>
        <v>2.7284960422163587</v>
      </c>
      <c r="Q17" s="191">
        <f t="shared" si="6"/>
        <v>8.25150012767044E-2</v>
      </c>
      <c r="R17" s="191">
        <f t="shared" si="7"/>
        <v>7.7357813696910374E-2</v>
      </c>
      <c r="S17" s="386">
        <f t="shared" si="8"/>
        <v>15</v>
      </c>
      <c r="T17" s="191">
        <f t="shared" si="9"/>
        <v>0.10907107629823036</v>
      </c>
      <c r="U17" s="191">
        <f t="shared" si="10"/>
        <v>0.3417560390677884</v>
      </c>
      <c r="V17" s="191">
        <f t="shared" si="11"/>
        <v>0.33461753172433589</v>
      </c>
      <c r="W17" s="175">
        <f t="shared" si="12"/>
        <v>350</v>
      </c>
      <c r="X17" s="386">
        <f t="shared" si="52"/>
        <v>350</v>
      </c>
      <c r="Z17" s="191">
        <f t="shared" si="13"/>
        <v>0.46073894667618365</v>
      </c>
      <c r="AA17" s="153">
        <f t="shared" si="14"/>
        <v>1.4134941575574826</v>
      </c>
      <c r="AB17" s="153">
        <f t="shared" si="15"/>
        <v>0.11396906662504547</v>
      </c>
      <c r="AC17" s="153"/>
      <c r="AD17" s="153">
        <f t="shared" si="16"/>
        <v>0.46018276762402083</v>
      </c>
      <c r="AE17" s="317">
        <f t="shared" si="17"/>
        <v>347.68794326241147</v>
      </c>
      <c r="AF17" s="463">
        <f t="shared" si="18"/>
        <v>1.2079797650130546E-2</v>
      </c>
      <c r="AH17" s="153">
        <f t="shared" si="19"/>
        <v>0.21266867076707813</v>
      </c>
      <c r="AI17" s="153">
        <f t="shared" si="20"/>
        <v>0.21266867076707813</v>
      </c>
      <c r="AJ17" s="153">
        <f t="shared" si="21"/>
        <v>1.198678824721378</v>
      </c>
      <c r="AL17" s="317">
        <f t="shared" si="22"/>
        <v>12</v>
      </c>
      <c r="AM17" s="147">
        <f t="shared" si="23"/>
        <v>347.68794326241147</v>
      </c>
      <c r="AO17">
        <f t="shared" si="53"/>
        <v>12</v>
      </c>
      <c r="AP17" s="147">
        <f t="shared" si="24"/>
        <v>347.68794326241147</v>
      </c>
      <c r="AQ17" s="147"/>
      <c r="AR17" s="5">
        <f t="shared" si="54"/>
        <v>2.8761422976501296</v>
      </c>
      <c r="AS17" s="5">
        <f t="shared" si="25"/>
        <v>0.6663618350701781</v>
      </c>
      <c r="AT17" s="5">
        <f t="shared" si="55"/>
        <v>2.2097804625799515</v>
      </c>
      <c r="AU17" s="153">
        <f t="shared" si="56"/>
        <v>0.23168597590411646</v>
      </c>
      <c r="AW17" s="5">
        <f t="shared" si="26"/>
        <v>0.96692791308641945</v>
      </c>
      <c r="AX17" s="5">
        <f t="shared" si="27"/>
        <v>0.24485642922666659</v>
      </c>
      <c r="AY17" s="5">
        <f t="shared" si="28"/>
        <v>0.96440494504700414</v>
      </c>
      <c r="AZ17" s="5">
        <f t="shared" si="29"/>
        <v>0.12499949969946805</v>
      </c>
      <c r="BA17" s="5">
        <f t="shared" si="30"/>
        <v>8.1188971069604141E-2</v>
      </c>
      <c r="BB17" s="147">
        <f t="shared" si="31"/>
        <v>6.1718394968869781</v>
      </c>
      <c r="BC17" s="5"/>
      <c r="BD17" s="153">
        <f t="shared" si="57"/>
        <v>5.9100718742496602E-2</v>
      </c>
      <c r="BE17" s="153">
        <f t="shared" si="32"/>
        <v>0.10762477821610414</v>
      </c>
      <c r="BF17" s="153">
        <f t="shared" si="33"/>
        <v>0.10776546420070034</v>
      </c>
      <c r="BG17" s="153"/>
      <c r="BH17" s="463">
        <f t="shared" si="34"/>
        <v>1.2225132345578911E-3</v>
      </c>
      <c r="BI17" s="463">
        <f t="shared" si="35"/>
        <v>1.120965764268002E-2</v>
      </c>
      <c r="BJ17" s="463">
        <f t="shared" si="36"/>
        <v>4.346099290780143E-3</v>
      </c>
      <c r="BK17" s="463">
        <f t="shared" si="37"/>
        <v>1.5981518034609933E-2</v>
      </c>
      <c r="BL17">
        <f t="shared" si="38"/>
        <v>4.3499999999999997E-3</v>
      </c>
      <c r="BM17">
        <f t="shared" si="39"/>
        <v>8.6921985815602863E-6</v>
      </c>
      <c r="BN17">
        <f t="shared" si="40"/>
        <v>3.7291931020590009E-2</v>
      </c>
      <c r="BO17" s="147">
        <f t="shared" si="58"/>
        <v>37.291931020590006</v>
      </c>
      <c r="BP17" s="153">
        <f t="shared" si="41"/>
        <v>1.3433482964954124E-2</v>
      </c>
      <c r="BQ17" s="153">
        <f t="shared" si="42"/>
        <v>1.3456633989635815E-2</v>
      </c>
      <c r="BR17" s="463"/>
      <c r="BT17" s="147">
        <f t="shared" si="59"/>
        <v>26.890116954589942</v>
      </c>
      <c r="BU17" s="463">
        <f t="shared" si="43"/>
        <v>3.4928949558796891E-3</v>
      </c>
      <c r="BV17" s="463">
        <f t="shared" si="60"/>
        <v>1.1583092886065604E-2</v>
      </c>
      <c r="BW17" s="463">
        <f t="shared" si="44"/>
        <v>5.8066976371962131E-4</v>
      </c>
      <c r="BX17" s="463">
        <f t="shared" si="45"/>
        <v>0</v>
      </c>
      <c r="BY17" s="463">
        <f t="shared" si="46"/>
        <v>1.755744779422819E-2</v>
      </c>
      <c r="BZ17" s="463">
        <f t="shared" si="61"/>
        <v>1.5656657605664915E-2</v>
      </c>
      <c r="CA17" s="549">
        <f t="shared" si="47"/>
        <v>7.862608808122621E-3</v>
      </c>
      <c r="CB17" s="147">
        <f t="shared" si="62"/>
        <v>25.420056602350812</v>
      </c>
      <c r="CC17" s="153">
        <f t="shared" si="63"/>
        <v>8.9602104577530747E-2</v>
      </c>
      <c r="CD17" s="5">
        <f t="shared" si="64"/>
        <v>0.372</v>
      </c>
      <c r="CE17" s="153">
        <f t="shared" si="65"/>
        <v>0.80588887336305204</v>
      </c>
      <c r="CF17" s="5">
        <f t="shared" si="66"/>
        <v>80.588887336305206</v>
      </c>
      <c r="CG17">
        <f t="shared" si="67"/>
        <v>12</v>
      </c>
      <c r="CI17" s="59">
        <f t="shared" si="48"/>
        <v>-50</v>
      </c>
      <c r="CJ17">
        <f t="shared" si="49"/>
        <v>-50</v>
      </c>
    </row>
    <row r="18" spans="5:88" x14ac:dyDescent="0.25">
      <c r="E18" s="150">
        <v>13</v>
      </c>
      <c r="F18" s="191">
        <f t="shared" si="68"/>
        <v>1.3000000000000001E-2</v>
      </c>
      <c r="G18" s="191">
        <f t="shared" si="50"/>
        <v>1.3000000000000001E-2</v>
      </c>
      <c r="H18" s="191">
        <f t="shared" si="0"/>
        <v>0.19500000000000001</v>
      </c>
      <c r="I18" s="191">
        <f t="shared" si="69"/>
        <v>0.20800000000000002</v>
      </c>
      <c r="J18" s="472">
        <f t="shared" si="1"/>
        <v>15</v>
      </c>
      <c r="K18" s="386">
        <f t="shared" si="2"/>
        <v>15.32</v>
      </c>
      <c r="L18" s="386">
        <f t="shared" si="3"/>
        <v>30.32</v>
      </c>
      <c r="M18" s="386"/>
      <c r="N18" s="191">
        <f t="shared" si="4"/>
        <v>0.50527704485488123</v>
      </c>
      <c r="O18" s="152">
        <f t="shared" si="51"/>
        <v>1.237725019150566</v>
      </c>
      <c r="P18" s="152">
        <f t="shared" si="5"/>
        <v>2.7284960422163587</v>
      </c>
      <c r="Q18" s="191">
        <f t="shared" si="6"/>
        <v>8.25150012767044E-2</v>
      </c>
      <c r="R18" s="191">
        <f t="shared" si="7"/>
        <v>7.7357813696910374E-2</v>
      </c>
      <c r="S18" s="386">
        <f t="shared" si="8"/>
        <v>15</v>
      </c>
      <c r="T18" s="191">
        <f t="shared" si="9"/>
        <v>0.11816033265641622</v>
      </c>
      <c r="U18" s="191">
        <f t="shared" si="10"/>
        <v>0.37023570899010411</v>
      </c>
      <c r="V18" s="191">
        <f t="shared" si="11"/>
        <v>0.36250232603469723</v>
      </c>
      <c r="W18" s="175">
        <f t="shared" si="12"/>
        <v>350</v>
      </c>
      <c r="X18" s="386">
        <f t="shared" si="52"/>
        <v>350</v>
      </c>
      <c r="Z18" s="191">
        <f t="shared" si="13"/>
        <v>0.46073894667618365</v>
      </c>
      <c r="AA18" s="153">
        <f t="shared" si="14"/>
        <v>1.4134941575574826</v>
      </c>
      <c r="AB18" s="153">
        <f t="shared" si="15"/>
        <v>0.11396906662504547</v>
      </c>
      <c r="AC18" s="153"/>
      <c r="AD18" s="153">
        <f t="shared" si="16"/>
        <v>0.46018276762402083</v>
      </c>
      <c r="AE18" s="317">
        <f t="shared" si="17"/>
        <v>376.66193853427905</v>
      </c>
      <c r="AF18" s="463">
        <f t="shared" si="18"/>
        <v>1.2079797650130546E-2</v>
      </c>
      <c r="AH18" s="153">
        <f t="shared" si="19"/>
        <v>0.22135257054374183</v>
      </c>
      <c r="AI18" s="153">
        <f t="shared" si="20"/>
        <v>0.22135257054374183</v>
      </c>
      <c r="AJ18" s="153">
        <f t="shared" si="21"/>
        <v>1.2528537559583273</v>
      </c>
      <c r="AL18" s="317">
        <f t="shared" si="22"/>
        <v>13.000000000000002</v>
      </c>
      <c r="AM18" s="147">
        <f t="shared" si="23"/>
        <v>350</v>
      </c>
      <c r="AO18">
        <f t="shared" si="53"/>
        <v>13.000000000000002</v>
      </c>
      <c r="AP18" s="147">
        <f t="shared" si="24"/>
        <v>350</v>
      </c>
      <c r="AQ18" s="147"/>
      <c r="AR18" s="5">
        <f t="shared" si="54"/>
        <v>2.8571428571428572</v>
      </c>
      <c r="AS18" s="5">
        <f t="shared" si="25"/>
        <v>0.6935713877037244</v>
      </c>
      <c r="AT18" s="5">
        <f t="shared" si="55"/>
        <v>2.163571469439133</v>
      </c>
      <c r="AU18" s="153">
        <f t="shared" si="56"/>
        <v>0.24274998569630354</v>
      </c>
      <c r="AW18" s="5">
        <f t="shared" si="26"/>
        <v>0.96692791308641945</v>
      </c>
      <c r="AX18" s="5">
        <f t="shared" si="27"/>
        <v>0.28411622596740738</v>
      </c>
      <c r="AY18" s="5">
        <f t="shared" si="28"/>
        <v>0.96440494504700414</v>
      </c>
      <c r="AZ18" s="5">
        <f t="shared" si="29"/>
        <v>0.14453413506395907</v>
      </c>
      <c r="BA18" s="5">
        <f t="shared" si="30"/>
        <v>8.6115486635453889E-2</v>
      </c>
      <c r="BB18" s="147">
        <f t="shared" si="31"/>
        <v>6.5482170532145973</v>
      </c>
      <c r="BC18" s="5"/>
      <c r="BD18" s="153">
        <f t="shared" si="57"/>
        <v>6.2965629400006967E-2</v>
      </c>
      <c r="BE18" s="153">
        <f t="shared" si="32"/>
        <v>0.11120993515135406</v>
      </c>
      <c r="BF18" s="153">
        <f t="shared" si="33"/>
        <v>0.11135530761560421</v>
      </c>
      <c r="BG18" s="153"/>
      <c r="BH18" s="463">
        <f t="shared" si="34"/>
        <v>1.3876346700086575E-3</v>
      </c>
      <c r="BI18" s="463">
        <f t="shared" si="35"/>
        <v>1.1744967393050941E-2</v>
      </c>
      <c r="BJ18" s="463">
        <f t="shared" si="36"/>
        <v>4.3749999999999995E-3</v>
      </c>
      <c r="BK18" s="463">
        <f t="shared" si="37"/>
        <v>1.6087792E-2</v>
      </c>
      <c r="BL18">
        <f t="shared" si="38"/>
        <v>4.3499999999999997E-3</v>
      </c>
      <c r="BM18">
        <f t="shared" si="39"/>
        <v>8.7499999999999992E-6</v>
      </c>
      <c r="BN18">
        <f t="shared" si="40"/>
        <v>3.8151242170990564E-2</v>
      </c>
      <c r="BO18" s="147">
        <f t="shared" si="58"/>
        <v>38.151242170990564</v>
      </c>
      <c r="BP18" s="153">
        <f t="shared" si="41"/>
        <v>1.441488435274544E-2</v>
      </c>
      <c r="BQ18" s="153">
        <f t="shared" si="42"/>
        <v>1.4439603464102705E-2</v>
      </c>
      <c r="BR18" s="463"/>
      <c r="BT18" s="147">
        <f t="shared" si="59"/>
        <v>28.854487816848142</v>
      </c>
      <c r="BU18" s="463">
        <f t="shared" si="43"/>
        <v>3.9646704857390219E-3</v>
      </c>
      <c r="BV18" s="463">
        <f t="shared" si="60"/>
        <v>1.2367649676368376E-2</v>
      </c>
      <c r="BW18" s="463">
        <f t="shared" si="44"/>
        <v>6.2000022670829211E-4</v>
      </c>
      <c r="BX18" s="463">
        <f t="shared" si="45"/>
        <v>0</v>
      </c>
      <c r="BY18" s="463">
        <f t="shared" si="46"/>
        <v>1.901238315632325E-2</v>
      </c>
      <c r="BZ18" s="463">
        <f t="shared" si="61"/>
        <v>1.6952320388815691E-2</v>
      </c>
      <c r="CA18" s="549">
        <f t="shared" si="47"/>
        <v>8.5744680851063872E-3</v>
      </c>
      <c r="CB18" s="147">
        <f t="shared" si="62"/>
        <v>27.586851241429635</v>
      </c>
      <c r="CC18" s="153">
        <f t="shared" si="63"/>
        <v>9.4592581229268349E-2</v>
      </c>
      <c r="CD18" s="5">
        <f t="shared" si="64"/>
        <v>0.40300000000000002</v>
      </c>
      <c r="CE18" s="153">
        <f t="shared" si="65"/>
        <v>0.80989953468441223</v>
      </c>
      <c r="CF18" s="5">
        <f t="shared" si="66"/>
        <v>80.989953468441229</v>
      </c>
      <c r="CG18">
        <f t="shared" si="67"/>
        <v>13</v>
      </c>
      <c r="CI18" s="59">
        <f t="shared" si="48"/>
        <v>-50</v>
      </c>
      <c r="CJ18">
        <f t="shared" si="49"/>
        <v>-50</v>
      </c>
    </row>
    <row r="19" spans="5:88" x14ac:dyDescent="0.25">
      <c r="E19" s="150">
        <v>14</v>
      </c>
      <c r="F19" s="191">
        <f t="shared" si="68"/>
        <v>1.4000000000000002E-2</v>
      </c>
      <c r="G19" s="191">
        <f t="shared" si="50"/>
        <v>1.4000000000000002E-2</v>
      </c>
      <c r="H19" s="191">
        <f t="shared" si="0"/>
        <v>0.21000000000000002</v>
      </c>
      <c r="I19" s="191">
        <f t="shared" si="69"/>
        <v>0.22400000000000003</v>
      </c>
      <c r="J19" s="472">
        <f t="shared" si="1"/>
        <v>15</v>
      </c>
      <c r="K19" s="386">
        <f t="shared" si="2"/>
        <v>15.32</v>
      </c>
      <c r="L19" s="386">
        <f t="shared" si="3"/>
        <v>30.32</v>
      </c>
      <c r="M19" s="386"/>
      <c r="N19" s="191">
        <f t="shared" si="4"/>
        <v>0.50527704485488123</v>
      </c>
      <c r="O19" s="152">
        <f t="shared" si="51"/>
        <v>1.237725019150566</v>
      </c>
      <c r="P19" s="152">
        <f t="shared" si="5"/>
        <v>2.7284960422163587</v>
      </c>
      <c r="Q19" s="191">
        <f t="shared" si="6"/>
        <v>8.25150012767044E-2</v>
      </c>
      <c r="R19" s="191">
        <f t="shared" si="7"/>
        <v>7.7357813696910374E-2</v>
      </c>
      <c r="S19" s="386">
        <f t="shared" si="8"/>
        <v>15</v>
      </c>
      <c r="T19" s="191">
        <f t="shared" si="9"/>
        <v>0.12724958901460209</v>
      </c>
      <c r="U19" s="191">
        <f t="shared" si="10"/>
        <v>0.39871537891241987</v>
      </c>
      <c r="V19" s="191">
        <f t="shared" si="11"/>
        <v>0.39038712034505857</v>
      </c>
      <c r="W19" s="175">
        <f t="shared" si="12"/>
        <v>350</v>
      </c>
      <c r="X19" s="386">
        <f t="shared" si="52"/>
        <v>350</v>
      </c>
      <c r="Z19" s="191">
        <f t="shared" si="13"/>
        <v>0.46073894667618365</v>
      </c>
      <c r="AA19" s="153">
        <f t="shared" si="14"/>
        <v>1.4134941575574826</v>
      </c>
      <c r="AB19" s="153">
        <f t="shared" si="15"/>
        <v>0.11396906662504547</v>
      </c>
      <c r="AC19" s="153"/>
      <c r="AD19" s="153">
        <f t="shared" si="16"/>
        <v>0.46018276762402083</v>
      </c>
      <c r="AE19" s="317">
        <f t="shared" si="17"/>
        <v>405.63593380614674</v>
      </c>
      <c r="AF19" s="463">
        <f t="shared" si="18"/>
        <v>1.2079797650130546E-2</v>
      </c>
      <c r="AH19" s="153">
        <f t="shared" si="19"/>
        <v>0.22970841831941755</v>
      </c>
      <c r="AI19" s="153">
        <f t="shared" si="20"/>
        <v>0.22970841831941755</v>
      </c>
      <c r="AJ19" s="153">
        <f t="shared" si="21"/>
        <v>1.259043272829198</v>
      </c>
      <c r="AL19" s="317">
        <f t="shared" si="22"/>
        <v>14.000000000000002</v>
      </c>
      <c r="AM19" s="147">
        <f t="shared" si="23"/>
        <v>350</v>
      </c>
      <c r="AO19">
        <f t="shared" si="53"/>
        <v>14.000000000000002</v>
      </c>
      <c r="AP19" s="147">
        <f t="shared" si="24"/>
        <v>350</v>
      </c>
      <c r="AQ19" s="147"/>
      <c r="AR19" s="5">
        <f t="shared" si="54"/>
        <v>2.8571428571428572</v>
      </c>
      <c r="AS19" s="5">
        <f t="shared" si="25"/>
        <v>0.71975304406750829</v>
      </c>
      <c r="AT19" s="5">
        <f t="shared" si="55"/>
        <v>2.137389813075349</v>
      </c>
      <c r="AU19" s="153">
        <f t="shared" si="56"/>
        <v>0.25191356542362792</v>
      </c>
      <c r="AW19" s="5">
        <f t="shared" si="26"/>
        <v>0.96692791308641945</v>
      </c>
      <c r="AX19" s="5">
        <f t="shared" si="27"/>
        <v>0.32627680644740731</v>
      </c>
      <c r="AY19" s="5">
        <f t="shared" si="28"/>
        <v>0.96440494504700414</v>
      </c>
      <c r="AZ19" s="5">
        <f t="shared" si="29"/>
        <v>0.16547154125760929</v>
      </c>
      <c r="BA19" s="5">
        <f t="shared" si="30"/>
        <v>9.1617499148118675E-2</v>
      </c>
      <c r="BB19" s="147">
        <f t="shared" si="31"/>
        <v>6.9677568805533436</v>
      </c>
      <c r="BC19" s="5"/>
      <c r="BD19" s="153">
        <f t="shared" si="57"/>
        <v>6.6564406087680633E-2</v>
      </c>
      <c r="BE19" s="153">
        <f t="shared" si="32"/>
        <v>0.11470759488570864</v>
      </c>
      <c r="BF19" s="153">
        <f t="shared" si="33"/>
        <v>0.1148575394541867</v>
      </c>
      <c r="BG19" s="153"/>
      <c r="BH19" s="463">
        <f t="shared" si="34"/>
        <v>1.5507870552319788E-3</v>
      </c>
      <c r="BI19" s="463">
        <f t="shared" si="35"/>
        <v>1.2188328676028296E-2</v>
      </c>
      <c r="BJ19" s="463">
        <f t="shared" si="36"/>
        <v>4.3749999999999995E-3</v>
      </c>
      <c r="BK19" s="463">
        <f t="shared" si="37"/>
        <v>1.6087792E-2</v>
      </c>
      <c r="BL19">
        <f t="shared" si="38"/>
        <v>4.3499999999999997E-3</v>
      </c>
      <c r="BM19">
        <f t="shared" si="39"/>
        <v>8.7499999999999992E-6</v>
      </c>
      <c r="BN19">
        <f t="shared" si="40"/>
        <v>3.8781110043131721E-2</v>
      </c>
      <c r="BO19" s="147">
        <f t="shared" si="58"/>
        <v>38.781110043131719</v>
      </c>
      <c r="BP19" s="153">
        <f t="shared" si="41"/>
        <v>1.5400583895890382E-2</v>
      </c>
      <c r="BQ19" s="153">
        <f t="shared" si="42"/>
        <v>1.5426882338275124E-2</v>
      </c>
      <c r="BR19" s="463"/>
      <c r="BT19" s="147">
        <f t="shared" si="59"/>
        <v>30.827466234165506</v>
      </c>
      <c r="BU19" s="463">
        <f t="shared" si="43"/>
        <v>4.4308201578056542E-3</v>
      </c>
      <c r="BV19" s="463">
        <f t="shared" si="60"/>
        <v>1.3157832324463851E-2</v>
      </c>
      <c r="BW19" s="463">
        <f t="shared" si="44"/>
        <v>6.5961271847350276E-4</v>
      </c>
      <c r="BX19" s="463">
        <f t="shared" si="45"/>
        <v>0</v>
      </c>
      <c r="BY19" s="463">
        <f t="shared" si="46"/>
        <v>2.046793737277542E-2</v>
      </c>
      <c r="BZ19" s="463">
        <f t="shared" si="61"/>
        <v>1.8248265200743009E-2</v>
      </c>
      <c r="CA19" s="549">
        <f t="shared" si="47"/>
        <v>9.2340425531914939E-3</v>
      </c>
      <c r="CB19" s="147">
        <f t="shared" si="62"/>
        <v>29.701979925966913</v>
      </c>
      <c r="CC19" s="153">
        <f t="shared" si="63"/>
        <v>9.9310556203264122E-2</v>
      </c>
      <c r="CD19" s="5">
        <f t="shared" si="64"/>
        <v>0.43400000000000005</v>
      </c>
      <c r="CE19" s="153">
        <f t="shared" si="65"/>
        <v>0.81378475440224884</v>
      </c>
      <c r="CF19" s="5">
        <f t="shared" si="66"/>
        <v>81.378475440224889</v>
      </c>
      <c r="CG19">
        <f t="shared" si="67"/>
        <v>14.000000000000002</v>
      </c>
      <c r="CI19" s="59">
        <f t="shared" si="48"/>
        <v>-50</v>
      </c>
      <c r="CJ19">
        <f t="shared" si="49"/>
        <v>-50</v>
      </c>
    </row>
    <row r="20" spans="5:88" x14ac:dyDescent="0.25">
      <c r="E20" s="150">
        <v>15</v>
      </c>
      <c r="F20" s="191">
        <f t="shared" si="68"/>
        <v>1.4999999999999999E-2</v>
      </c>
      <c r="G20" s="191">
        <f t="shared" si="50"/>
        <v>1.4999999999999999E-2</v>
      </c>
      <c r="H20" s="191">
        <f t="shared" si="0"/>
        <v>0.22499999999999998</v>
      </c>
      <c r="I20" s="191">
        <f t="shared" si="69"/>
        <v>0.24</v>
      </c>
      <c r="J20" s="472">
        <f t="shared" si="1"/>
        <v>15</v>
      </c>
      <c r="K20" s="386">
        <f t="shared" si="2"/>
        <v>15.32</v>
      </c>
      <c r="L20" s="386">
        <f t="shared" si="3"/>
        <v>30.32</v>
      </c>
      <c r="M20" s="386"/>
      <c r="N20" s="191">
        <f t="shared" si="4"/>
        <v>0.50527704485488123</v>
      </c>
      <c r="O20" s="152">
        <f t="shared" si="51"/>
        <v>1.237725019150566</v>
      </c>
      <c r="P20" s="152">
        <f t="shared" si="5"/>
        <v>2.7284960422163587</v>
      </c>
      <c r="Q20" s="191">
        <f t="shared" si="6"/>
        <v>8.25150012767044E-2</v>
      </c>
      <c r="R20" s="191">
        <f t="shared" si="7"/>
        <v>7.7357813696910374E-2</v>
      </c>
      <c r="S20" s="386">
        <f t="shared" si="8"/>
        <v>15</v>
      </c>
      <c r="T20" s="191">
        <f t="shared" si="9"/>
        <v>0.13633884537278793</v>
      </c>
      <c r="U20" s="191">
        <f t="shared" si="10"/>
        <v>0.42719504883473547</v>
      </c>
      <c r="V20" s="191">
        <f t="shared" si="11"/>
        <v>0.4182719146554198</v>
      </c>
      <c r="W20" s="175">
        <f t="shared" si="12"/>
        <v>350</v>
      </c>
      <c r="X20" s="386">
        <f t="shared" si="52"/>
        <v>350</v>
      </c>
      <c r="Z20" s="191">
        <f t="shared" si="13"/>
        <v>0.46073894667618365</v>
      </c>
      <c r="AA20" s="153">
        <f t="shared" si="14"/>
        <v>1.4134941575574826</v>
      </c>
      <c r="AB20" s="153">
        <f t="shared" si="15"/>
        <v>0.11396906662504547</v>
      </c>
      <c r="AC20" s="153"/>
      <c r="AD20" s="153">
        <f t="shared" si="16"/>
        <v>0.46018276762402083</v>
      </c>
      <c r="AE20" s="317">
        <f t="shared" si="17"/>
        <v>434.6099290780142</v>
      </c>
      <c r="AF20" s="463">
        <f t="shared" si="18"/>
        <v>1.2079797650130546E-2</v>
      </c>
      <c r="AH20" s="153">
        <f t="shared" si="19"/>
        <v>0.2377708022598545</v>
      </c>
      <c r="AI20" s="153">
        <f t="shared" si="20"/>
        <v>0.2377708022598545</v>
      </c>
      <c r="AJ20" s="153">
        <f t="shared" si="21"/>
        <v>1.2650154090813737</v>
      </c>
      <c r="AL20" s="317">
        <f t="shared" si="22"/>
        <v>15</v>
      </c>
      <c r="AM20" s="147">
        <f t="shared" si="23"/>
        <v>350</v>
      </c>
      <c r="AO20">
        <f t="shared" si="53"/>
        <v>15</v>
      </c>
      <c r="AP20" s="147">
        <f t="shared" si="24"/>
        <v>350</v>
      </c>
      <c r="AQ20" s="147"/>
      <c r="AR20" s="5">
        <f t="shared" si="54"/>
        <v>2.8571428571428572</v>
      </c>
      <c r="AS20" s="5">
        <f t="shared" si="25"/>
        <v>0.74501518041421078</v>
      </c>
      <c r="AT20" s="5">
        <f t="shared" si="55"/>
        <v>2.1121276767286465</v>
      </c>
      <c r="AU20" s="153">
        <f t="shared" si="56"/>
        <v>0.26075531314497374</v>
      </c>
      <c r="AW20" s="5">
        <f t="shared" si="26"/>
        <v>0.96692791308641945</v>
      </c>
      <c r="AX20" s="5">
        <f t="shared" si="27"/>
        <v>0.37133817066666652</v>
      </c>
      <c r="AY20" s="5">
        <f t="shared" si="28"/>
        <v>0.96440494504700414</v>
      </c>
      <c r="AZ20" s="5">
        <f t="shared" si="29"/>
        <v>0.18781171828041882</v>
      </c>
      <c r="BA20" s="5">
        <f t="shared" si="30"/>
        <v>9.7001419227537813E-2</v>
      </c>
      <c r="BB20" s="147">
        <f t="shared" si="31"/>
        <v>7.378439775398669</v>
      </c>
      <c r="BC20" s="5"/>
      <c r="BD20" s="153">
        <f t="shared" si="57"/>
        <v>7.0099428766362465E-2</v>
      </c>
      <c r="BE20" s="153">
        <f t="shared" si="32"/>
        <v>0.11802988981212041</v>
      </c>
      <c r="BF20" s="153">
        <f t="shared" si="33"/>
        <v>0.11818417724978332</v>
      </c>
      <c r="BG20" s="153"/>
      <c r="BH20" s="463">
        <f t="shared" si="34"/>
        <v>1.7198754696796138E-3</v>
      </c>
      <c r="BI20" s="463">
        <f t="shared" si="35"/>
        <v>1.261611876790788E-2</v>
      </c>
      <c r="BJ20" s="463">
        <f t="shared" si="36"/>
        <v>4.3749999999999995E-3</v>
      </c>
      <c r="BK20" s="463">
        <f t="shared" si="37"/>
        <v>1.6087792E-2</v>
      </c>
      <c r="BL20">
        <f t="shared" si="38"/>
        <v>4.3499999999999997E-3</v>
      </c>
      <c r="BM20">
        <f t="shared" si="39"/>
        <v>8.7499999999999992E-6</v>
      </c>
      <c r="BN20">
        <f t="shared" si="40"/>
        <v>3.9402222421958309E-2</v>
      </c>
      <c r="BO20" s="147">
        <f t="shared" si="58"/>
        <v>39.402222421958307</v>
      </c>
      <c r="BP20" s="153">
        <f t="shared" si="41"/>
        <v>1.6373325935242825E-2</v>
      </c>
      <c r="BQ20" s="153">
        <f t="shared" si="42"/>
        <v>1.640116981068707E-2</v>
      </c>
      <c r="BR20" s="463"/>
      <c r="BT20" s="147">
        <f t="shared" si="59"/>
        <v>32.774495745929897</v>
      </c>
      <c r="BU20" s="463">
        <f t="shared" si="43"/>
        <v>4.9139299133703256E-3</v>
      </c>
      <c r="BV20" s="463">
        <f t="shared" si="60"/>
        <v>1.3931054889061286E-2</v>
      </c>
      <c r="BW20" s="463">
        <f t="shared" si="44"/>
        <v>6.983749876104101E-4</v>
      </c>
      <c r="BX20" s="463">
        <f t="shared" si="45"/>
        <v>0</v>
      </c>
      <c r="BY20" s="463">
        <f t="shared" si="46"/>
        <v>2.1922838638697879E-2</v>
      </c>
      <c r="BZ20" s="463">
        <f t="shared" si="61"/>
        <v>1.9543359790042025E-2</v>
      </c>
      <c r="CA20" s="549">
        <f t="shared" si="47"/>
        <v>9.8936170212765955E-3</v>
      </c>
      <c r="CB20" s="147">
        <f t="shared" si="62"/>
        <v>31.816455659974473</v>
      </c>
      <c r="CC20" s="153">
        <f t="shared" si="63"/>
        <v>0.10399317382786268</v>
      </c>
      <c r="CD20" s="5">
        <f t="shared" si="64"/>
        <v>0.46499999999999997</v>
      </c>
      <c r="CE20" s="153">
        <f t="shared" si="65"/>
        <v>0.81723300276476829</v>
      </c>
      <c r="CF20" s="5">
        <f t="shared" si="66"/>
        <v>81.723300276476834</v>
      </c>
      <c r="CG20">
        <f t="shared" si="67"/>
        <v>15</v>
      </c>
      <c r="CI20" s="59">
        <f t="shared" si="48"/>
        <v>-50</v>
      </c>
      <c r="CJ20">
        <f t="shared" si="49"/>
        <v>-50</v>
      </c>
    </row>
    <row r="21" spans="5:88" s="59" customFormat="1" x14ac:dyDescent="0.25">
      <c r="E21" s="150">
        <v>16</v>
      </c>
      <c r="F21" s="191">
        <f t="shared" si="68"/>
        <v>1.6E-2</v>
      </c>
      <c r="G21" s="191">
        <f t="shared" si="50"/>
        <v>1.6E-2</v>
      </c>
      <c r="H21" s="191">
        <f t="shared" si="0"/>
        <v>0.24</v>
      </c>
      <c r="I21" s="191">
        <f t="shared" si="69"/>
        <v>0.25600000000000001</v>
      </c>
      <c r="J21" s="472">
        <f t="shared" si="1"/>
        <v>15</v>
      </c>
      <c r="K21" s="386">
        <f t="shared" si="2"/>
        <v>15.32</v>
      </c>
      <c r="L21" s="386">
        <f t="shared" si="3"/>
        <v>30.32</v>
      </c>
      <c r="M21" s="386"/>
      <c r="N21" s="191">
        <f t="shared" si="4"/>
        <v>0.50527704485488123</v>
      </c>
      <c r="O21" s="152">
        <f t="shared" si="51"/>
        <v>1.237725019150566</v>
      </c>
      <c r="P21" s="152">
        <f t="shared" si="5"/>
        <v>2.7284960422163587</v>
      </c>
      <c r="Q21" s="191">
        <f t="shared" si="6"/>
        <v>8.25150012767044E-2</v>
      </c>
      <c r="R21" s="191">
        <f t="shared" si="7"/>
        <v>7.7357813696910374E-2</v>
      </c>
      <c r="S21" s="386">
        <f t="shared" si="8"/>
        <v>15</v>
      </c>
      <c r="T21" s="191">
        <f t="shared" si="9"/>
        <v>0.14542810173097381</v>
      </c>
      <c r="U21" s="191">
        <f t="shared" si="10"/>
        <v>0.45567471875705129</v>
      </c>
      <c r="V21" s="191">
        <f t="shared" si="11"/>
        <v>0.44615670896578125</v>
      </c>
      <c r="W21" s="175">
        <f t="shared" si="12"/>
        <v>350</v>
      </c>
      <c r="X21" s="386">
        <f t="shared" si="52"/>
        <v>350</v>
      </c>
      <c r="Z21" s="191">
        <f t="shared" si="13"/>
        <v>0.46073894667618365</v>
      </c>
      <c r="AA21" s="153">
        <f t="shared" si="14"/>
        <v>1.4134941575574826</v>
      </c>
      <c r="AB21" s="153">
        <f t="shared" si="15"/>
        <v>0.11396906662504547</v>
      </c>
      <c r="AC21" s="469"/>
      <c r="AD21" s="153">
        <f t="shared" si="16"/>
        <v>0.46018276762402083</v>
      </c>
      <c r="AE21" s="317">
        <f t="shared" si="17"/>
        <v>463.58392434988195</v>
      </c>
      <c r="AF21" s="463">
        <f t="shared" si="18"/>
        <v>1.2079797650130546E-2</v>
      </c>
      <c r="AG21"/>
      <c r="AH21" s="153">
        <f t="shared" si="19"/>
        <v>0.2455686286311449</v>
      </c>
      <c r="AI21" s="153">
        <f t="shared" si="20"/>
        <v>0.2455686286311449</v>
      </c>
      <c r="AJ21" s="153">
        <f t="shared" si="21"/>
        <v>1.2707915767638109</v>
      </c>
      <c r="AL21" s="317">
        <f t="shared" si="22"/>
        <v>16</v>
      </c>
      <c r="AM21" s="147">
        <f t="shared" si="23"/>
        <v>350</v>
      </c>
      <c r="AO21">
        <f t="shared" si="53"/>
        <v>16</v>
      </c>
      <c r="AP21" s="147">
        <f t="shared" si="24"/>
        <v>350</v>
      </c>
      <c r="AQ21" s="147"/>
      <c r="AR21" s="5">
        <f t="shared" si="54"/>
        <v>2.8571428571428572</v>
      </c>
      <c r="AS21" s="5">
        <f t="shared" si="25"/>
        <v>0.76944836971092068</v>
      </c>
      <c r="AT21" s="5">
        <f t="shared" si="55"/>
        <v>2.0876944874319365</v>
      </c>
      <c r="AU21" s="153">
        <f t="shared" si="56"/>
        <v>0.26930692939882223</v>
      </c>
      <c r="AW21" s="5">
        <f t="shared" si="26"/>
        <v>0.96692791308641945</v>
      </c>
      <c r="AX21" s="5">
        <f t="shared" si="27"/>
        <v>0.41930031862518496</v>
      </c>
      <c r="AY21" s="5">
        <f t="shared" si="28"/>
        <v>0.96440494504700414</v>
      </c>
      <c r="AZ21" s="5">
        <f t="shared" si="29"/>
        <v>0.2115546661323876</v>
      </c>
      <c r="BA21" s="5">
        <f t="shared" si="30"/>
        <v>0.10227125587814721</v>
      </c>
      <c r="BB21" s="147">
        <f t="shared" si="31"/>
        <v>7.780566413083263</v>
      </c>
      <c r="BC21" s="5"/>
      <c r="BD21" s="153">
        <f t="shared" si="57"/>
        <v>7.357597427936434E-2</v>
      </c>
      <c r="BE21" s="153">
        <f t="shared" si="32"/>
        <v>0.12119361836101782</v>
      </c>
      <c r="BF21" s="153">
        <f t="shared" si="33"/>
        <v>0.12135204139155509</v>
      </c>
      <c r="BG21" s="153"/>
      <c r="BH21" s="463">
        <f t="shared" si="34"/>
        <v>1.8946983969051888E-3</v>
      </c>
      <c r="BI21" s="463">
        <f t="shared" si="35"/>
        <v>1.3029871435168551E-2</v>
      </c>
      <c r="BJ21" s="463">
        <f t="shared" si="36"/>
        <v>4.3749999999999995E-3</v>
      </c>
      <c r="BK21" s="463">
        <f t="shared" si="37"/>
        <v>1.6087792E-2</v>
      </c>
      <c r="BL21">
        <f t="shared" si="38"/>
        <v>4.3499999999999997E-3</v>
      </c>
      <c r="BM21">
        <f t="shared" si="39"/>
        <v>8.7499999999999992E-6</v>
      </c>
      <c r="BN21">
        <f t="shared" si="40"/>
        <v>4.0015884542614115E-2</v>
      </c>
      <c r="BO21" s="147">
        <f t="shared" si="58"/>
        <v>40.015884542614117</v>
      </c>
      <c r="BP21" s="153">
        <f t="shared" si="41"/>
        <v>1.7333550352417133E-2</v>
      </c>
      <c r="BQ21" s="153">
        <f t="shared" si="42"/>
        <v>1.7362906913721846E-2</v>
      </c>
      <c r="BR21" s="463"/>
      <c r="BT21" s="147">
        <f t="shared" si="59"/>
        <v>34.696457266138978</v>
      </c>
      <c r="BU21" s="463">
        <f t="shared" si="43"/>
        <v>5.4134239911576825E-3</v>
      </c>
      <c r="BV21" s="463">
        <f t="shared" si="60"/>
        <v>1.4687893131436034E-2</v>
      </c>
      <c r="BW21" s="463">
        <f t="shared" si="44"/>
        <v>7.3631589749488502E-4</v>
      </c>
      <c r="BX21" s="463">
        <f t="shared" si="45"/>
        <v>0</v>
      </c>
      <c r="BY21" s="463">
        <f t="shared" si="46"/>
        <v>2.3377118888456408E-2</v>
      </c>
      <c r="BZ21" s="463">
        <f t="shared" si="61"/>
        <v>2.0837633020088602E-2</v>
      </c>
      <c r="CA21" s="549">
        <f t="shared" si="47"/>
        <v>1.0553191489361704E-2</v>
      </c>
      <c r="CB21" s="147">
        <f t="shared" si="62"/>
        <v>33.930310377818117</v>
      </c>
      <c r="CC21" s="153">
        <f t="shared" si="63"/>
        <v>0.10864265218657121</v>
      </c>
      <c r="CD21" s="5">
        <f t="shared" si="64"/>
        <v>0.496</v>
      </c>
      <c r="CE21" s="153">
        <f t="shared" si="65"/>
        <v>0.82031923848956667</v>
      </c>
      <c r="CF21" s="5">
        <f t="shared" si="66"/>
        <v>82.031923848956666</v>
      </c>
      <c r="CG21">
        <f t="shared" si="67"/>
        <v>16</v>
      </c>
      <c r="CI21" s="59">
        <f t="shared" si="48"/>
        <v>-50</v>
      </c>
      <c r="CJ21">
        <f t="shared" si="49"/>
        <v>-50</v>
      </c>
    </row>
    <row r="22" spans="5:88" x14ac:dyDescent="0.25">
      <c r="E22" s="150">
        <v>17</v>
      </c>
      <c r="F22" s="191">
        <f t="shared" si="68"/>
        <v>1.7000000000000001E-2</v>
      </c>
      <c r="G22" s="191">
        <f t="shared" si="50"/>
        <v>1.7000000000000001E-2</v>
      </c>
      <c r="H22" s="191">
        <f t="shared" si="0"/>
        <v>0.255</v>
      </c>
      <c r="I22" s="191">
        <f t="shared" si="69"/>
        <v>0.27200000000000002</v>
      </c>
      <c r="J22" s="472">
        <f t="shared" si="1"/>
        <v>15</v>
      </c>
      <c r="K22" s="386">
        <f t="shared" si="2"/>
        <v>15.32</v>
      </c>
      <c r="L22" s="386">
        <f t="shared" si="3"/>
        <v>30.32</v>
      </c>
      <c r="M22" s="386"/>
      <c r="N22" s="191">
        <f t="shared" si="4"/>
        <v>0.50527704485488123</v>
      </c>
      <c r="O22" s="152">
        <f t="shared" si="51"/>
        <v>1.237725019150566</v>
      </c>
      <c r="P22" s="152">
        <f t="shared" si="5"/>
        <v>2.7284960422163587</v>
      </c>
      <c r="Q22" s="191">
        <f t="shared" si="6"/>
        <v>8.25150012767044E-2</v>
      </c>
      <c r="R22" s="191">
        <f t="shared" si="7"/>
        <v>7.7357813696910374E-2</v>
      </c>
      <c r="S22" s="386">
        <f t="shared" si="8"/>
        <v>15</v>
      </c>
      <c r="T22" s="191">
        <f t="shared" si="9"/>
        <v>0.15451735808915967</v>
      </c>
      <c r="U22" s="191">
        <f t="shared" si="10"/>
        <v>0.484154388679367</v>
      </c>
      <c r="V22" s="191">
        <f t="shared" si="11"/>
        <v>0.47404150327614258</v>
      </c>
      <c r="W22" s="175">
        <f t="shared" si="12"/>
        <v>350</v>
      </c>
      <c r="X22" s="386">
        <f t="shared" si="52"/>
        <v>350</v>
      </c>
      <c r="Z22" s="191">
        <f t="shared" si="13"/>
        <v>0.46073894667618365</v>
      </c>
      <c r="AA22" s="153">
        <f t="shared" si="14"/>
        <v>1.4134941575574826</v>
      </c>
      <c r="AB22" s="153">
        <f t="shared" si="15"/>
        <v>0.11396906662504547</v>
      </c>
      <c r="AC22" s="153"/>
      <c r="AD22" s="153">
        <f t="shared" si="16"/>
        <v>0.46018276762402083</v>
      </c>
      <c r="AE22" s="317">
        <f t="shared" si="17"/>
        <v>492.55791962174953</v>
      </c>
      <c r="AF22" s="463">
        <f t="shared" si="18"/>
        <v>1.2079797650130546E-2</v>
      </c>
      <c r="AH22" s="153">
        <f t="shared" si="19"/>
        <v>0.25312634854607191</v>
      </c>
      <c r="AI22" s="153">
        <f t="shared" si="20"/>
        <v>0.25312634854607191</v>
      </c>
      <c r="AJ22" s="153">
        <f t="shared" si="21"/>
        <v>1.2763898878119051</v>
      </c>
      <c r="AL22" s="317">
        <f t="shared" si="22"/>
        <v>17</v>
      </c>
      <c r="AM22" s="147">
        <f t="shared" si="23"/>
        <v>350</v>
      </c>
      <c r="AO22">
        <f t="shared" si="53"/>
        <v>17</v>
      </c>
      <c r="AP22" s="147">
        <f t="shared" si="24"/>
        <v>350</v>
      </c>
      <c r="AQ22" s="147"/>
      <c r="AR22" s="5">
        <f t="shared" si="54"/>
        <v>2.8571428571428572</v>
      </c>
      <c r="AS22" s="5">
        <f t="shared" si="25"/>
        <v>0.7931292254443586</v>
      </c>
      <c r="AT22" s="5">
        <f t="shared" si="55"/>
        <v>2.0640136316984985</v>
      </c>
      <c r="AU22" s="153">
        <f t="shared" si="56"/>
        <v>0.27759522890552552</v>
      </c>
      <c r="AW22" s="5">
        <f t="shared" si="26"/>
        <v>0.96692791308641945</v>
      </c>
      <c r="AX22" s="5">
        <f t="shared" si="27"/>
        <v>0.4701632503229628</v>
      </c>
      <c r="AY22" s="5">
        <f t="shared" si="28"/>
        <v>0.96440494504700414</v>
      </c>
      <c r="AZ22" s="5">
        <f t="shared" si="29"/>
        <v>0.23670038481351574</v>
      </c>
      <c r="BA22" s="5">
        <f t="shared" si="30"/>
        <v>0.10743063544741815</v>
      </c>
      <c r="BB22" s="147">
        <f t="shared" si="31"/>
        <v>8.1744087696674708</v>
      </c>
      <c r="BC22" s="5"/>
      <c r="BD22" s="153">
        <f t="shared" si="57"/>
        <v>7.6998581713858691E-2</v>
      </c>
      <c r="BE22" s="153">
        <f t="shared" si="32"/>
        <v>0.12421299391291579</v>
      </c>
      <c r="BF22" s="153">
        <f t="shared" si="33"/>
        <v>0.12437536383959934</v>
      </c>
      <c r="BG22" s="153"/>
      <c r="BH22" s="463">
        <f t="shared" si="34"/>
        <v>2.0750735550810208E-3</v>
      </c>
      <c r="BI22" s="463">
        <f t="shared" si="35"/>
        <v>1.3430884053854578E-2</v>
      </c>
      <c r="BJ22" s="463">
        <f t="shared" si="36"/>
        <v>4.3749999999999995E-3</v>
      </c>
      <c r="BK22" s="463">
        <f t="shared" si="37"/>
        <v>1.6087792E-2</v>
      </c>
      <c r="BL22">
        <f t="shared" si="38"/>
        <v>4.3499999999999997E-3</v>
      </c>
      <c r="BM22">
        <f t="shared" si="39"/>
        <v>8.7499999999999992E-6</v>
      </c>
      <c r="BN22">
        <f t="shared" si="40"/>
        <v>4.062318716958329E-2</v>
      </c>
      <c r="BO22" s="147">
        <f t="shared" si="58"/>
        <v>40.623187169583289</v>
      </c>
      <c r="BP22" s="153">
        <f t="shared" si="41"/>
        <v>1.8281655042602884E-2</v>
      </c>
      <c r="BQ22" s="153">
        <f t="shared" si="42"/>
        <v>1.8312492583497795E-2</v>
      </c>
      <c r="BR22" s="463"/>
      <c r="BT22" s="147">
        <f t="shared" si="59"/>
        <v>36.594147626100678</v>
      </c>
      <c r="BU22" s="463">
        <f t="shared" si="43"/>
        <v>5.9287815859457738E-3</v>
      </c>
      <c r="BV22" s="463">
        <f t="shared" si="60"/>
        <v>1.5428867856810056E-2</v>
      </c>
      <c r="BW22" s="463">
        <f t="shared" si="44"/>
        <v>7.7346155651163585E-4</v>
      </c>
      <c r="BX22" s="463">
        <f t="shared" si="45"/>
        <v>0</v>
      </c>
      <c r="BY22" s="463">
        <f t="shared" si="46"/>
        <v>2.4830806986829716E-2</v>
      </c>
      <c r="BZ22" s="463">
        <f t="shared" si="61"/>
        <v>2.2131110999267466E-2</v>
      </c>
      <c r="CA22" s="549">
        <f t="shared" si="47"/>
        <v>1.1212765957446814E-2</v>
      </c>
      <c r="CB22" s="147">
        <f t="shared" si="62"/>
        <v>36.043572944276526</v>
      </c>
      <c r="CC22" s="153">
        <f t="shared" si="63"/>
        <v>0.11326090773996049</v>
      </c>
      <c r="CD22" s="5">
        <f t="shared" si="64"/>
        <v>0.52700000000000002</v>
      </c>
      <c r="CE22" s="153">
        <f t="shared" si="65"/>
        <v>0.82310194739242004</v>
      </c>
      <c r="CF22" s="5">
        <f t="shared" si="66"/>
        <v>82.310194739242007</v>
      </c>
      <c r="CG22">
        <f t="shared" si="67"/>
        <v>17</v>
      </c>
      <c r="CI22" s="59">
        <f t="shared" si="48"/>
        <v>-50</v>
      </c>
      <c r="CJ22">
        <f t="shared" si="49"/>
        <v>-50</v>
      </c>
    </row>
    <row r="23" spans="5:88" x14ac:dyDescent="0.25">
      <c r="E23" s="150">
        <v>18</v>
      </c>
      <c r="F23" s="191">
        <f t="shared" si="68"/>
        <v>1.7999999999999999E-2</v>
      </c>
      <c r="G23" s="191">
        <f t="shared" si="50"/>
        <v>1.7999999999999999E-2</v>
      </c>
      <c r="H23" s="191">
        <f t="shared" si="0"/>
        <v>0.26999999999999996</v>
      </c>
      <c r="I23" s="191">
        <f t="shared" si="69"/>
        <v>0.28799999999999998</v>
      </c>
      <c r="J23" s="472">
        <f t="shared" si="1"/>
        <v>15</v>
      </c>
      <c r="K23" s="386">
        <f t="shared" si="2"/>
        <v>15.32</v>
      </c>
      <c r="L23" s="386">
        <f t="shared" si="3"/>
        <v>30.32</v>
      </c>
      <c r="M23" s="386"/>
      <c r="N23" s="191">
        <f t="shared" si="4"/>
        <v>0.50527704485488123</v>
      </c>
      <c r="O23" s="152">
        <f t="shared" si="51"/>
        <v>1.237725019150566</v>
      </c>
      <c r="P23" s="152">
        <f t="shared" si="5"/>
        <v>2.7284960422163587</v>
      </c>
      <c r="Q23" s="191">
        <f t="shared" si="6"/>
        <v>8.25150012767044E-2</v>
      </c>
      <c r="R23" s="191">
        <f t="shared" si="7"/>
        <v>7.7357813696910374E-2</v>
      </c>
      <c r="S23" s="386">
        <f t="shared" si="8"/>
        <v>15</v>
      </c>
      <c r="T23" s="191">
        <f t="shared" si="9"/>
        <v>0.16360661444734551</v>
      </c>
      <c r="U23" s="191">
        <f t="shared" si="10"/>
        <v>0.51263405860168254</v>
      </c>
      <c r="V23" s="191">
        <f t="shared" si="11"/>
        <v>0.50192629758650387</v>
      </c>
      <c r="W23" s="175">
        <f t="shared" si="12"/>
        <v>350</v>
      </c>
      <c r="X23" s="386">
        <f t="shared" si="52"/>
        <v>350</v>
      </c>
      <c r="Z23" s="191">
        <f t="shared" si="13"/>
        <v>0.46073894667618365</v>
      </c>
      <c r="AA23" s="153">
        <f t="shared" si="14"/>
        <v>1.4134941575574826</v>
      </c>
      <c r="AB23" s="153">
        <f t="shared" si="15"/>
        <v>0.11396906662504547</v>
      </c>
      <c r="AC23" s="153"/>
      <c r="AD23" s="153">
        <f t="shared" si="16"/>
        <v>0.46018276762402083</v>
      </c>
      <c r="AE23" s="317">
        <f t="shared" si="17"/>
        <v>521.53191489361711</v>
      </c>
      <c r="AF23" s="463">
        <f t="shared" si="18"/>
        <v>1.2079797650130546E-2</v>
      </c>
      <c r="AH23" s="153">
        <f t="shared" si="19"/>
        <v>0.26046486382764528</v>
      </c>
      <c r="AI23" s="153">
        <f t="shared" si="20"/>
        <v>0.26046486382764528</v>
      </c>
      <c r="AJ23" s="153">
        <f t="shared" si="21"/>
        <v>1.281825825057515</v>
      </c>
      <c r="AL23" s="317">
        <f t="shared" si="22"/>
        <v>18</v>
      </c>
      <c r="AM23" s="147">
        <f t="shared" si="23"/>
        <v>350</v>
      </c>
      <c r="AO23">
        <f t="shared" si="53"/>
        <v>18</v>
      </c>
      <c r="AP23" s="147">
        <f t="shared" si="24"/>
        <v>350</v>
      </c>
      <c r="AQ23" s="147"/>
      <c r="AR23" s="5">
        <f t="shared" si="54"/>
        <v>2.8571428571428572</v>
      </c>
      <c r="AS23" s="5">
        <f t="shared" si="25"/>
        <v>0.81612323999328862</v>
      </c>
      <c r="AT23" s="5">
        <f t="shared" si="55"/>
        <v>2.0410196171495687</v>
      </c>
      <c r="AU23" s="153">
        <f t="shared" si="56"/>
        <v>0.28564313399765101</v>
      </c>
      <c r="AW23" s="5">
        <f t="shared" si="26"/>
        <v>0.96692791308641945</v>
      </c>
      <c r="AX23" s="5">
        <f t="shared" si="27"/>
        <v>0.52392696575999964</v>
      </c>
      <c r="AY23" s="5">
        <f t="shared" si="28"/>
        <v>0.96440494504700414</v>
      </c>
      <c r="AZ23" s="5">
        <f t="shared" si="29"/>
        <v>0.26324887432380306</v>
      </c>
      <c r="BA23" s="5">
        <f t="shared" si="30"/>
        <v>0.11248285890068732</v>
      </c>
      <c r="BB23" s="147">
        <f t="shared" si="31"/>
        <v>8.5602144175515491</v>
      </c>
      <c r="BC23" s="5"/>
      <c r="BD23" s="153">
        <f t="shared" si="57"/>
        <v>8.037119274295737E-2</v>
      </c>
      <c r="BE23" s="153">
        <f t="shared" si="32"/>
        <v>0.12710016970874716</v>
      </c>
      <c r="BF23" s="153">
        <f t="shared" si="33"/>
        <v>0.12726631372143832</v>
      </c>
      <c r="BG23" s="153"/>
      <c r="BH23" s="463">
        <f t="shared" si="34"/>
        <v>2.2608350180239609E-3</v>
      </c>
      <c r="BI23" s="463">
        <f t="shared" si="35"/>
        <v>1.3820265674694859E-2</v>
      </c>
      <c r="BJ23" s="463">
        <f t="shared" si="36"/>
        <v>4.3749999999999995E-3</v>
      </c>
      <c r="BK23" s="463">
        <f t="shared" si="37"/>
        <v>1.6087792E-2</v>
      </c>
      <c r="BL23">
        <f t="shared" si="38"/>
        <v>4.3499999999999997E-3</v>
      </c>
      <c r="BM23">
        <f t="shared" si="39"/>
        <v>8.7499999999999992E-6</v>
      </c>
      <c r="BN23">
        <f t="shared" si="40"/>
        <v>4.1225051380991834E-2</v>
      </c>
      <c r="BO23" s="147">
        <f t="shared" si="58"/>
        <v>41.225051380991836</v>
      </c>
      <c r="BP23" s="153">
        <f t="shared" si="41"/>
        <v>1.9218002198954139E-2</v>
      </c>
      <c r="BQ23" s="153">
        <f t="shared" si="42"/>
        <v>1.925028996069808E-2</v>
      </c>
      <c r="BR23" s="463"/>
      <c r="BT23" s="147">
        <f t="shared" si="59"/>
        <v>38.468292159652222</v>
      </c>
      <c r="BU23" s="463">
        <f t="shared" si="43"/>
        <v>6.4595286229256034E-3</v>
      </c>
      <c r="BV23" s="463">
        <f t="shared" si="60"/>
        <v>1.6154453139992329E-2</v>
      </c>
      <c r="BW23" s="463">
        <f t="shared" si="44"/>
        <v>8.0983573041217807E-4</v>
      </c>
      <c r="BX23" s="463">
        <f t="shared" si="45"/>
        <v>0</v>
      </c>
      <c r="BY23" s="463">
        <f t="shared" si="46"/>
        <v>2.6283929189356854E-2</v>
      </c>
      <c r="BZ23" s="463">
        <f t="shared" si="61"/>
        <v>2.3423817493330109E-2</v>
      </c>
      <c r="CA23" s="549">
        <f t="shared" si="47"/>
        <v>1.1872340425531919E-2</v>
      </c>
      <c r="CB23" s="147">
        <f t="shared" si="62"/>
        <v>38.156269614888771</v>
      </c>
      <c r="CC23" s="153">
        <f t="shared" si="63"/>
        <v>0.11784961315553283</v>
      </c>
      <c r="CD23" s="5">
        <f t="shared" si="64"/>
        <v>0.55799999999999994</v>
      </c>
      <c r="CE23" s="153">
        <f t="shared" si="65"/>
        <v>0.82562746081144511</v>
      </c>
      <c r="CF23" s="5">
        <f t="shared" si="66"/>
        <v>82.56274608114451</v>
      </c>
      <c r="CG23">
        <f t="shared" si="67"/>
        <v>17.999999999999996</v>
      </c>
      <c r="CI23" s="59">
        <f t="shared" si="48"/>
        <v>-50</v>
      </c>
      <c r="CJ23">
        <f t="shared" si="49"/>
        <v>-50</v>
      </c>
    </row>
    <row r="24" spans="5:88" x14ac:dyDescent="0.25">
      <c r="E24" s="150">
        <v>19</v>
      </c>
      <c r="F24" s="191">
        <f t="shared" si="68"/>
        <v>1.9000000000000003E-2</v>
      </c>
      <c r="G24" s="191">
        <f t="shared" si="50"/>
        <v>1.9000000000000003E-2</v>
      </c>
      <c r="H24" s="191">
        <f t="shared" si="0"/>
        <v>0.28500000000000003</v>
      </c>
      <c r="I24" s="191">
        <f t="shared" si="69"/>
        <v>0.30400000000000005</v>
      </c>
      <c r="J24" s="472">
        <f t="shared" si="1"/>
        <v>15</v>
      </c>
      <c r="K24" s="386">
        <f t="shared" si="2"/>
        <v>15.32</v>
      </c>
      <c r="L24" s="386">
        <f t="shared" si="3"/>
        <v>30.32</v>
      </c>
      <c r="M24" s="386"/>
      <c r="N24" s="191">
        <f t="shared" si="4"/>
        <v>0.50527704485488123</v>
      </c>
      <c r="O24" s="152">
        <f t="shared" si="51"/>
        <v>1.237725019150566</v>
      </c>
      <c r="P24" s="152">
        <f t="shared" si="5"/>
        <v>2.7284960422163587</v>
      </c>
      <c r="Q24" s="191">
        <f t="shared" si="6"/>
        <v>8.25150012767044E-2</v>
      </c>
      <c r="R24" s="191">
        <f t="shared" si="7"/>
        <v>7.7357813696910374E-2</v>
      </c>
      <c r="S24" s="386">
        <f t="shared" si="8"/>
        <v>15</v>
      </c>
      <c r="T24" s="191">
        <f t="shared" si="9"/>
        <v>0.17269587080553142</v>
      </c>
      <c r="U24" s="191">
        <f t="shared" si="10"/>
        <v>0.54111372852399842</v>
      </c>
      <c r="V24" s="191">
        <f t="shared" si="11"/>
        <v>0.52981109189686537</v>
      </c>
      <c r="W24" s="175">
        <f t="shared" si="12"/>
        <v>350</v>
      </c>
      <c r="X24" s="386">
        <f t="shared" si="52"/>
        <v>350</v>
      </c>
      <c r="Z24" s="191">
        <f t="shared" si="13"/>
        <v>0.46073894667618365</v>
      </c>
      <c r="AA24" s="153">
        <f t="shared" si="14"/>
        <v>1.4134941575574826</v>
      </c>
      <c r="AB24" s="153">
        <f t="shared" si="15"/>
        <v>0.11396906662504547</v>
      </c>
      <c r="AC24" s="153"/>
      <c r="AD24" s="153">
        <f t="shared" si="16"/>
        <v>0.46018276762402083</v>
      </c>
      <c r="AE24" s="317">
        <f t="shared" si="17"/>
        <v>550.50591016548492</v>
      </c>
      <c r="AF24" s="463">
        <f t="shared" si="18"/>
        <v>1.2079797650130546E-2</v>
      </c>
      <c r="AH24" s="153">
        <f t="shared" si="19"/>
        <v>0.26760220897675741</v>
      </c>
      <c r="AI24" s="153">
        <f t="shared" si="20"/>
        <v>0.26760220897675741</v>
      </c>
      <c r="AJ24" s="153">
        <f t="shared" si="21"/>
        <v>1.2871127473901907</v>
      </c>
      <c r="AL24" s="317">
        <f t="shared" si="22"/>
        <v>19.000000000000004</v>
      </c>
      <c r="AM24" s="147">
        <f t="shared" si="23"/>
        <v>350</v>
      </c>
      <c r="AO24">
        <f t="shared" si="53"/>
        <v>19.000000000000004</v>
      </c>
      <c r="AP24" s="147">
        <f t="shared" si="24"/>
        <v>350</v>
      </c>
      <c r="AQ24" s="147"/>
      <c r="AR24" s="5">
        <f t="shared" si="54"/>
        <v>2.8571428571428572</v>
      </c>
      <c r="AS24" s="5">
        <f t="shared" si="25"/>
        <v>0.83848692146050652</v>
      </c>
      <c r="AT24" s="5">
        <f t="shared" si="55"/>
        <v>2.0186559356823506</v>
      </c>
      <c r="AU24" s="153">
        <f t="shared" si="56"/>
        <v>0.29347042251117728</v>
      </c>
      <c r="AW24" s="5">
        <f t="shared" si="26"/>
        <v>0.96692791308641945</v>
      </c>
      <c r="AX24" s="5">
        <f t="shared" si="27"/>
        <v>0.58059146493629621</v>
      </c>
      <c r="AY24" s="5">
        <f t="shared" si="28"/>
        <v>0.96440494504700414</v>
      </c>
      <c r="AZ24" s="5">
        <f t="shared" si="29"/>
        <v>0.29120013466324979</v>
      </c>
      <c r="BA24" s="5">
        <f t="shared" si="30"/>
        <v>0.11743094776463257</v>
      </c>
      <c r="BB24" s="147">
        <f t="shared" si="31"/>
        <v>8.938209971236331</v>
      </c>
      <c r="BC24" s="5"/>
      <c r="BD24" s="153">
        <f t="shared" si="57"/>
        <v>8.3697258972059582E-2</v>
      </c>
      <c r="BE24" s="153">
        <f t="shared" si="32"/>
        <v>0.12986563411327895</v>
      </c>
      <c r="BF24" s="153">
        <f t="shared" si="33"/>
        <v>0.13003539311211981</v>
      </c>
      <c r="BG24" s="153"/>
      <c r="BH24" s="463">
        <f t="shared" si="34"/>
        <v>2.451830905802603E-3</v>
      </c>
      <c r="BI24" s="463">
        <f t="shared" si="35"/>
        <v>1.4198973208306749E-2</v>
      </c>
      <c r="BJ24" s="463">
        <f t="shared" si="36"/>
        <v>4.3749999999999995E-3</v>
      </c>
      <c r="BK24" s="463">
        <f t="shared" si="37"/>
        <v>1.6087792E-2</v>
      </c>
      <c r="BL24">
        <f t="shared" si="38"/>
        <v>4.3499999999999997E-3</v>
      </c>
      <c r="BM24">
        <f t="shared" si="39"/>
        <v>8.7499999999999992E-6</v>
      </c>
      <c r="BN24">
        <f t="shared" si="40"/>
        <v>4.1822262122077264E-2</v>
      </c>
      <c r="BO24" s="147">
        <f t="shared" si="58"/>
        <v>41.822262122077262</v>
      </c>
      <c r="BP24" s="153">
        <f t="shared" si="41"/>
        <v>2.014292335366405E-2</v>
      </c>
      <c r="BQ24" s="153">
        <f t="shared" si="42"/>
        <v>2.0176631444833185E-2</v>
      </c>
      <c r="BR24" s="463"/>
      <c r="BT24" s="147">
        <f t="shared" si="59"/>
        <v>40.319554798497236</v>
      </c>
      <c r="BU24" s="463">
        <f t="shared" si="43"/>
        <v>7.0052311594360085E-3</v>
      </c>
      <c r="BV24" s="463">
        <f t="shared" si="60"/>
        <v>1.686508292364404E-2</v>
      </c>
      <c r="BW24" s="463">
        <f t="shared" si="44"/>
        <v>8.4546017309117683E-4</v>
      </c>
      <c r="BX24" s="463">
        <f t="shared" si="45"/>
        <v>0</v>
      </c>
      <c r="BY24" s="463">
        <f t="shared" si="46"/>
        <v>2.7736509511531067E-2</v>
      </c>
      <c r="BZ24" s="463">
        <f t="shared" si="61"/>
        <v>2.4715774256171223E-2</v>
      </c>
      <c r="CA24" s="549">
        <f t="shared" si="47"/>
        <v>1.2531914893617026E-2</v>
      </c>
      <c r="CB24" s="147">
        <f t="shared" si="62"/>
        <v>40.268424405148096</v>
      </c>
      <c r="CC24" s="153">
        <f t="shared" si="63"/>
        <v>0.12241024132572259</v>
      </c>
      <c r="CD24" s="5">
        <f t="shared" si="64"/>
        <v>0.58900000000000008</v>
      </c>
      <c r="CE24" s="153">
        <f t="shared" si="65"/>
        <v>0.82793297844910219</v>
      </c>
      <c r="CF24" s="5">
        <f t="shared" si="66"/>
        <v>82.793297844910214</v>
      </c>
      <c r="CG24">
        <f t="shared" si="67"/>
        <v>19.000000000000004</v>
      </c>
      <c r="CI24" s="59">
        <f t="shared" si="48"/>
        <v>-50</v>
      </c>
      <c r="CJ24">
        <f t="shared" si="49"/>
        <v>-50</v>
      </c>
    </row>
    <row r="25" spans="5:88" x14ac:dyDescent="0.25">
      <c r="E25" s="150">
        <v>20</v>
      </c>
      <c r="F25" s="191">
        <f t="shared" si="68"/>
        <v>2.0000000000000004E-2</v>
      </c>
      <c r="G25" s="191">
        <f t="shared" si="50"/>
        <v>2.0000000000000004E-2</v>
      </c>
      <c r="H25" s="191">
        <f t="shared" si="0"/>
        <v>0.30000000000000004</v>
      </c>
      <c r="I25" s="191">
        <f t="shared" si="69"/>
        <v>0.32000000000000006</v>
      </c>
      <c r="J25" s="472">
        <f t="shared" si="1"/>
        <v>15</v>
      </c>
      <c r="K25" s="386">
        <f t="shared" si="2"/>
        <v>15.32</v>
      </c>
      <c r="L25" s="386">
        <f t="shared" si="3"/>
        <v>30.32</v>
      </c>
      <c r="M25" s="386"/>
      <c r="N25" s="191">
        <f t="shared" si="4"/>
        <v>0.50527704485488123</v>
      </c>
      <c r="O25" s="152">
        <f t="shared" si="51"/>
        <v>1.237725019150566</v>
      </c>
      <c r="P25" s="152">
        <f t="shared" si="5"/>
        <v>2.7284960422163587</v>
      </c>
      <c r="Q25" s="191">
        <f t="shared" si="6"/>
        <v>8.25150012767044E-2</v>
      </c>
      <c r="R25" s="191">
        <f t="shared" si="7"/>
        <v>7.7357813696910374E-2</v>
      </c>
      <c r="S25" s="386">
        <f t="shared" si="8"/>
        <v>15</v>
      </c>
      <c r="T25" s="191">
        <f t="shared" si="9"/>
        <v>0.18178512716371728</v>
      </c>
      <c r="U25" s="191">
        <f t="shared" si="10"/>
        <v>0.56959339844631418</v>
      </c>
      <c r="V25" s="191">
        <f t="shared" si="11"/>
        <v>0.55769588620722665</v>
      </c>
      <c r="W25" s="175">
        <f t="shared" si="12"/>
        <v>350</v>
      </c>
      <c r="X25" s="386">
        <f t="shared" si="52"/>
        <v>350</v>
      </c>
      <c r="Z25" s="191">
        <f t="shared" si="13"/>
        <v>0.46073894667618365</v>
      </c>
      <c r="AA25" s="153">
        <f t="shared" si="14"/>
        <v>1.4134941575574826</v>
      </c>
      <c r="AB25" s="153">
        <f t="shared" si="15"/>
        <v>0.11396906662504547</v>
      </c>
      <c r="AC25" s="153"/>
      <c r="AD25" s="153">
        <f t="shared" si="16"/>
        <v>0.46018276762402083</v>
      </c>
      <c r="AE25" s="317">
        <f t="shared" si="17"/>
        <v>579.4799054373525</v>
      </c>
      <c r="AF25" s="463">
        <f t="shared" si="18"/>
        <v>1.2079797650130546E-2</v>
      </c>
      <c r="AH25" s="153">
        <f t="shared" si="19"/>
        <v>0.27455407338032062</v>
      </c>
      <c r="AI25" s="153">
        <f t="shared" si="20"/>
        <v>0.27455407338032062</v>
      </c>
      <c r="AJ25" s="153">
        <f t="shared" si="21"/>
        <v>1.2922622765780152</v>
      </c>
      <c r="AL25" s="317">
        <f t="shared" si="22"/>
        <v>20.000000000000004</v>
      </c>
      <c r="AM25" s="147">
        <f t="shared" si="23"/>
        <v>350</v>
      </c>
      <c r="AO25">
        <f t="shared" si="53"/>
        <v>20.000000000000004</v>
      </c>
      <c r="AP25" s="147">
        <f t="shared" si="24"/>
        <v>350</v>
      </c>
      <c r="AQ25" s="147"/>
      <c r="AR25" s="5">
        <f t="shared" si="54"/>
        <v>2.8571428571428572</v>
      </c>
      <c r="AS25" s="5">
        <f t="shared" si="25"/>
        <v>0.86026942992500455</v>
      </c>
      <c r="AT25" s="5">
        <f t="shared" si="55"/>
        <v>1.9968734272178525</v>
      </c>
      <c r="AU25" s="153">
        <f t="shared" si="56"/>
        <v>0.30109430047375157</v>
      </c>
      <c r="AW25" s="5">
        <f t="shared" si="26"/>
        <v>0.96692791308641945</v>
      </c>
      <c r="AX25" s="5">
        <f t="shared" si="27"/>
        <v>0.64015674785185173</v>
      </c>
      <c r="AY25" s="5">
        <f t="shared" si="28"/>
        <v>0.96440494504700414</v>
      </c>
      <c r="AZ25" s="5">
        <f t="shared" si="29"/>
        <v>0.32055416583185581</v>
      </c>
      <c r="BA25" s="5">
        <f t="shared" si="30"/>
        <v>0.12227768146914259</v>
      </c>
      <c r="BB25" s="147">
        <f t="shared" si="31"/>
        <v>9.3086038879634714</v>
      </c>
      <c r="BC25" s="5"/>
      <c r="BD25" s="153">
        <f t="shared" si="57"/>
        <v>8.6979825373677919E-2</v>
      </c>
      <c r="BE25" s="153">
        <f t="shared" si="32"/>
        <v>0.13251851335268841</v>
      </c>
      <c r="BF25" s="153">
        <f t="shared" si="33"/>
        <v>0.13269174016752849</v>
      </c>
      <c r="BG25" s="153"/>
      <c r="BH25" s="463">
        <f t="shared" si="34"/>
        <v>2.6479215077124265E-3</v>
      </c>
      <c r="BI25" s="463">
        <f t="shared" si="35"/>
        <v>1.4567839133559813E-2</v>
      </c>
      <c r="BJ25" s="463">
        <f t="shared" si="36"/>
        <v>4.3749999999999995E-3</v>
      </c>
      <c r="BK25" s="463">
        <f t="shared" si="37"/>
        <v>1.6087792E-2</v>
      </c>
      <c r="BL25">
        <f t="shared" si="38"/>
        <v>4.3499999999999997E-3</v>
      </c>
      <c r="BM25">
        <f t="shared" si="39"/>
        <v>8.7499999999999992E-6</v>
      </c>
      <c r="BN25">
        <f t="shared" si="40"/>
        <v>4.241549377453608E-2</v>
      </c>
      <c r="BO25" s="147">
        <f t="shared" si="58"/>
        <v>42.415493774536081</v>
      </c>
      <c r="BP25" s="153">
        <f t="shared" si="41"/>
        <v>2.105672347524189E-2</v>
      </c>
      <c r="BQ25" s="153">
        <f t="shared" si="42"/>
        <v>2.1091822802236791E-2</v>
      </c>
      <c r="BR25" s="463"/>
      <c r="BT25" s="147">
        <f t="shared" si="59"/>
        <v>42.14854627747868</v>
      </c>
      <c r="BU25" s="463">
        <f t="shared" si="43"/>
        <v>7.5654900220355047E-3</v>
      </c>
      <c r="BV25" s="463">
        <f t="shared" si="60"/>
        <v>1.7561156381206658E-2</v>
      </c>
      <c r="BW25" s="463">
        <f t="shared" si="44"/>
        <v>8.803548954343448E-4</v>
      </c>
      <c r="BX25" s="463">
        <f t="shared" si="45"/>
        <v>0</v>
      </c>
      <c r="BY25" s="463">
        <f t="shared" si="46"/>
        <v>2.9188570028809351E-2</v>
      </c>
      <c r="BZ25" s="463">
        <f t="shared" si="61"/>
        <v>2.6007001298676509E-2</v>
      </c>
      <c r="CA25" s="549">
        <f t="shared" si="47"/>
        <v>1.3191489361702136E-2</v>
      </c>
      <c r="CB25" s="147">
        <f t="shared" si="62"/>
        <v>42.380059390511491</v>
      </c>
      <c r="CC25" s="153">
        <f t="shared" si="63"/>
        <v>0.12694409944252624</v>
      </c>
      <c r="CD25" s="5">
        <f t="shared" si="64"/>
        <v>0.62000000000000011</v>
      </c>
      <c r="CE25" s="153">
        <f t="shared" si="65"/>
        <v>0.83004872849618916</v>
      </c>
      <c r="CF25" s="5">
        <f t="shared" si="66"/>
        <v>83.00487284961892</v>
      </c>
      <c r="CG25">
        <f t="shared" si="67"/>
        <v>20.000000000000004</v>
      </c>
      <c r="CI25" s="59">
        <f t="shared" si="48"/>
        <v>-50</v>
      </c>
      <c r="CJ25">
        <f t="shared" si="49"/>
        <v>-50</v>
      </c>
    </row>
    <row r="26" spans="5:88" x14ac:dyDescent="0.25">
      <c r="E26" s="150">
        <v>21</v>
      </c>
      <c r="F26" s="191">
        <f t="shared" si="68"/>
        <v>2.1000000000000001E-2</v>
      </c>
      <c r="G26" s="191">
        <f t="shared" si="50"/>
        <v>2.1000000000000001E-2</v>
      </c>
      <c r="H26" s="191">
        <f t="shared" si="0"/>
        <v>0.315</v>
      </c>
      <c r="I26" s="191">
        <f t="shared" si="69"/>
        <v>0.33600000000000002</v>
      </c>
      <c r="J26" s="472">
        <f t="shared" si="1"/>
        <v>15</v>
      </c>
      <c r="K26" s="386">
        <f t="shared" si="2"/>
        <v>15.32</v>
      </c>
      <c r="L26" s="386">
        <f t="shared" si="3"/>
        <v>30.32</v>
      </c>
      <c r="M26" s="386"/>
      <c r="N26" s="191">
        <f t="shared" si="4"/>
        <v>0.50527704485488123</v>
      </c>
      <c r="O26" s="152">
        <f t="shared" si="51"/>
        <v>1.237725019150566</v>
      </c>
      <c r="P26" s="152">
        <f t="shared" si="5"/>
        <v>2.7284960422163587</v>
      </c>
      <c r="Q26" s="191">
        <f t="shared" si="6"/>
        <v>8.25150012767044E-2</v>
      </c>
      <c r="R26" s="191">
        <f t="shared" si="7"/>
        <v>7.7357813696910374E-2</v>
      </c>
      <c r="S26" s="386">
        <f t="shared" si="8"/>
        <v>15</v>
      </c>
      <c r="T26" s="191">
        <f t="shared" si="9"/>
        <v>0.19087438352190314</v>
      </c>
      <c r="U26" s="191">
        <f t="shared" si="10"/>
        <v>0.59807306836862972</v>
      </c>
      <c r="V26" s="191">
        <f t="shared" si="11"/>
        <v>0.58558068051758794</v>
      </c>
      <c r="W26" s="175">
        <f t="shared" si="12"/>
        <v>350</v>
      </c>
      <c r="X26" s="386">
        <f t="shared" si="52"/>
        <v>350</v>
      </c>
      <c r="Z26" s="191">
        <f t="shared" si="13"/>
        <v>0.46073894667618365</v>
      </c>
      <c r="AA26" s="153">
        <f t="shared" si="14"/>
        <v>1.4134941575574826</v>
      </c>
      <c r="AB26" s="153">
        <f t="shared" si="15"/>
        <v>0.11396906662504547</v>
      </c>
      <c r="AC26" s="153"/>
      <c r="AD26" s="153">
        <f t="shared" si="16"/>
        <v>0.46018276762402083</v>
      </c>
      <c r="AE26" s="317">
        <f t="shared" si="17"/>
        <v>608.45390070922008</v>
      </c>
      <c r="AF26" s="463">
        <f t="shared" si="18"/>
        <v>1.2079797650130546E-2</v>
      </c>
      <c r="AH26" s="153">
        <f t="shared" si="19"/>
        <v>0.28133420725218039</v>
      </c>
      <c r="AI26" s="153">
        <f t="shared" si="20"/>
        <v>0.28133420725218039</v>
      </c>
      <c r="AJ26" s="153">
        <f t="shared" si="21"/>
        <v>1.297284597964578</v>
      </c>
      <c r="AL26" s="317">
        <f t="shared" si="22"/>
        <v>21</v>
      </c>
      <c r="AM26" s="147">
        <f t="shared" si="23"/>
        <v>350</v>
      </c>
      <c r="AO26">
        <f t="shared" si="53"/>
        <v>21</v>
      </c>
      <c r="AP26" s="147">
        <f t="shared" si="24"/>
        <v>350</v>
      </c>
      <c r="AQ26" s="147"/>
      <c r="AR26" s="5">
        <f t="shared" si="54"/>
        <v>2.8571428571428572</v>
      </c>
      <c r="AS26" s="5">
        <f t="shared" si="25"/>
        <v>0.88151384939016519</v>
      </c>
      <c r="AT26" s="5">
        <f t="shared" si="55"/>
        <v>1.9756290077526919</v>
      </c>
      <c r="AU26" s="153">
        <f t="shared" si="56"/>
        <v>0.3085298472865578</v>
      </c>
      <c r="AW26" s="5">
        <f t="shared" si="26"/>
        <v>0.96692791308641945</v>
      </c>
      <c r="AX26" s="5">
        <f t="shared" si="27"/>
        <v>0.70262281450666642</v>
      </c>
      <c r="AY26" s="5">
        <f t="shared" si="28"/>
        <v>0.96440494504700414</v>
      </c>
      <c r="AZ26" s="5">
        <f t="shared" si="29"/>
        <v>0.3513109678296209</v>
      </c>
      <c r="BA26" s="5">
        <f t="shared" si="30"/>
        <v>0.12702562805402495</v>
      </c>
      <c r="BB26" s="147">
        <f t="shared" si="31"/>
        <v>9.671588770718536</v>
      </c>
      <c r="BC26" s="5"/>
      <c r="BD26" s="153">
        <f t="shared" si="57"/>
        <v>9.0221596064891371E-2</v>
      </c>
      <c r="BE26" s="153">
        <f t="shared" si="32"/>
        <v>0.13506680690276143</v>
      </c>
      <c r="BF26" s="153">
        <f t="shared" si="33"/>
        <v>0.1352433648202814</v>
      </c>
      <c r="BG26" s="153"/>
      <c r="BH26" s="463">
        <f t="shared" si="34"/>
        <v>2.8489777387737478E-3</v>
      </c>
      <c r="BI26" s="463">
        <f t="shared" si="35"/>
        <v>1.492759303680069E-2</v>
      </c>
      <c r="BJ26" s="463">
        <f t="shared" si="36"/>
        <v>4.3749999999999995E-3</v>
      </c>
      <c r="BK26" s="463">
        <f t="shared" si="37"/>
        <v>1.6087792E-2</v>
      </c>
      <c r="BL26">
        <f t="shared" si="38"/>
        <v>4.3499999999999997E-3</v>
      </c>
      <c r="BM26">
        <f t="shared" si="39"/>
        <v>8.7499999999999992E-6</v>
      </c>
      <c r="BN26">
        <f t="shared" si="40"/>
        <v>4.3005329936808216E-2</v>
      </c>
      <c r="BO26" s="147">
        <f t="shared" si="58"/>
        <v>43.005329936808216</v>
      </c>
      <c r="BP26" s="153">
        <f t="shared" si="41"/>
        <v>2.1959684337757593E-2</v>
      </c>
      <c r="BQ26" s="153">
        <f t="shared" si="42"/>
        <v>2.1996146544124563E-2</v>
      </c>
      <c r="BR26" s="463"/>
      <c r="BT26" s="147">
        <f t="shared" si="59"/>
        <v>43.95583088188215</v>
      </c>
      <c r="BU26" s="463">
        <f t="shared" si="43"/>
        <v>8.1399363964964229E-3</v>
      </c>
      <c r="BV26" s="463">
        <f t="shared" si="60"/>
        <v>1.8243042326907842E-2</v>
      </c>
      <c r="BW26" s="463">
        <f t="shared" si="44"/>
        <v>9.1453838639558654E-4</v>
      </c>
      <c r="BX26" s="463">
        <f t="shared" si="45"/>
        <v>0</v>
      </c>
      <c r="BY26" s="463">
        <f t="shared" si="46"/>
        <v>3.0640131123262537E-2</v>
      </c>
      <c r="BZ26" s="463">
        <f t="shared" si="61"/>
        <v>2.729751710979985E-2</v>
      </c>
      <c r="CA26" s="549">
        <f t="shared" si="47"/>
        <v>1.3851063829787241E-2</v>
      </c>
      <c r="CB26" s="147">
        <f t="shared" si="62"/>
        <v>44.491194953049778</v>
      </c>
      <c r="CC26" s="153">
        <f t="shared" si="63"/>
        <v>0.13145235577174014</v>
      </c>
      <c r="CD26" s="5">
        <f t="shared" si="64"/>
        <v>0.65100000000000002</v>
      </c>
      <c r="CE26" s="153">
        <f t="shared" si="65"/>
        <v>0.83199953990542019</v>
      </c>
      <c r="CF26" s="5">
        <f t="shared" si="66"/>
        <v>83.199953990542014</v>
      </c>
      <c r="CG26">
        <f t="shared" si="67"/>
        <v>21</v>
      </c>
      <c r="CI26" s="59">
        <f t="shared" si="48"/>
        <v>-50</v>
      </c>
      <c r="CJ26">
        <f t="shared" si="49"/>
        <v>-50</v>
      </c>
    </row>
    <row r="27" spans="5:88" x14ac:dyDescent="0.25">
      <c r="E27" s="150">
        <v>22</v>
      </c>
      <c r="F27" s="191">
        <f t="shared" si="68"/>
        <v>2.2000000000000002E-2</v>
      </c>
      <c r="G27" s="191">
        <f t="shared" si="50"/>
        <v>2.2000000000000002E-2</v>
      </c>
      <c r="H27" s="191">
        <f t="shared" si="0"/>
        <v>0.33</v>
      </c>
      <c r="I27" s="191">
        <f t="shared" si="69"/>
        <v>0.35200000000000004</v>
      </c>
      <c r="J27" s="472">
        <f t="shared" si="1"/>
        <v>15</v>
      </c>
      <c r="K27" s="386">
        <f t="shared" si="2"/>
        <v>15.32</v>
      </c>
      <c r="L27" s="386">
        <f t="shared" si="3"/>
        <v>30.32</v>
      </c>
      <c r="M27" s="386"/>
      <c r="N27" s="191">
        <f t="shared" si="4"/>
        <v>0.50527704485488123</v>
      </c>
      <c r="O27" s="152">
        <f t="shared" si="51"/>
        <v>1.237725019150566</v>
      </c>
      <c r="P27" s="152">
        <f t="shared" si="5"/>
        <v>2.7284960422163587</v>
      </c>
      <c r="Q27" s="191">
        <f t="shared" si="6"/>
        <v>8.25150012767044E-2</v>
      </c>
      <c r="R27" s="191">
        <f t="shared" si="7"/>
        <v>7.7357813696910374E-2</v>
      </c>
      <c r="S27" s="386">
        <f t="shared" si="8"/>
        <v>15</v>
      </c>
      <c r="T27" s="191">
        <f t="shared" si="9"/>
        <v>0.199963639880089</v>
      </c>
      <c r="U27" s="191">
        <f t="shared" si="10"/>
        <v>0.62655273829094549</v>
      </c>
      <c r="V27" s="191">
        <f t="shared" si="11"/>
        <v>0.61346547482794922</v>
      </c>
      <c r="W27" s="175">
        <f t="shared" si="12"/>
        <v>350</v>
      </c>
      <c r="X27" s="386">
        <f t="shared" si="52"/>
        <v>350</v>
      </c>
      <c r="Z27" s="191">
        <f t="shared" si="13"/>
        <v>0.46073894667618365</v>
      </c>
      <c r="AA27" s="153">
        <f t="shared" si="14"/>
        <v>1.4134941575574826</v>
      </c>
      <c r="AB27" s="153">
        <f t="shared" si="15"/>
        <v>0.11396906662504547</v>
      </c>
      <c r="AC27" s="153"/>
      <c r="AD27" s="153">
        <f t="shared" si="16"/>
        <v>0.46018276762402083</v>
      </c>
      <c r="AE27" s="317">
        <f t="shared" si="17"/>
        <v>637.42789598108766</v>
      </c>
      <c r="AF27" s="463">
        <f t="shared" si="18"/>
        <v>1.2079797650130546E-2</v>
      </c>
      <c r="AH27" s="153">
        <f t="shared" si="19"/>
        <v>0.28795474146243727</v>
      </c>
      <c r="AI27" s="153">
        <f t="shared" si="20"/>
        <v>0.28795474146243727</v>
      </c>
      <c r="AJ27" s="153">
        <f t="shared" si="21"/>
        <v>1.3021886973795831</v>
      </c>
      <c r="AL27" s="317">
        <f t="shared" si="22"/>
        <v>22.000000000000004</v>
      </c>
      <c r="AM27" s="147">
        <f t="shared" si="23"/>
        <v>350</v>
      </c>
      <c r="AO27">
        <f t="shared" si="53"/>
        <v>22.000000000000004</v>
      </c>
      <c r="AP27" s="147">
        <f t="shared" si="24"/>
        <v>350</v>
      </c>
      <c r="AQ27" s="147"/>
      <c r="AR27" s="5">
        <f t="shared" si="54"/>
        <v>2.8571428571428572</v>
      </c>
      <c r="AS27" s="5">
        <f t="shared" si="25"/>
        <v>0.90225818991563678</v>
      </c>
      <c r="AT27" s="5">
        <f t="shared" si="55"/>
        <v>1.9548846672272204</v>
      </c>
      <c r="AU27" s="153">
        <f t="shared" si="56"/>
        <v>0.31579036647047287</v>
      </c>
      <c r="AW27" s="5">
        <f t="shared" si="26"/>
        <v>0.96692791308641945</v>
      </c>
      <c r="AX27" s="5">
        <f t="shared" si="27"/>
        <v>0.76798966490074072</v>
      </c>
      <c r="AY27" s="5">
        <f t="shared" si="28"/>
        <v>0.96440494504700414</v>
      </c>
      <c r="AZ27" s="5">
        <f t="shared" si="29"/>
        <v>0.38347054065654546</v>
      </c>
      <c r="BA27" s="5">
        <f t="shared" si="30"/>
        <v>0.13167716968384832</v>
      </c>
      <c r="BB27" s="147">
        <f t="shared" si="31"/>
        <v>10.027343281844182</v>
      </c>
      <c r="BC27" s="5"/>
      <c r="BD27" s="153">
        <f t="shared" si="57"/>
        <v>9.3424986826005016E-2</v>
      </c>
      <c r="BE27" s="153">
        <f t="shared" si="32"/>
        <v>0.13751757298660836</v>
      </c>
      <c r="BF27" s="153">
        <f t="shared" si="33"/>
        <v>0.13769733451992416</v>
      </c>
      <c r="BG27" s="153"/>
      <c r="BH27" s="463">
        <f t="shared" si="34"/>
        <v>3.0548798572037237E-3</v>
      </c>
      <c r="BI27" s="463">
        <f t="shared" si="35"/>
        <v>1.5278878581996922E-2</v>
      </c>
      <c r="BJ27" s="463">
        <f t="shared" si="36"/>
        <v>4.3749999999999995E-3</v>
      </c>
      <c r="BK27" s="463">
        <f t="shared" si="37"/>
        <v>1.6087792E-2</v>
      </c>
      <c r="BL27">
        <f t="shared" si="38"/>
        <v>4.3499999999999997E-3</v>
      </c>
      <c r="BM27">
        <f t="shared" si="39"/>
        <v>8.7499999999999992E-6</v>
      </c>
      <c r="BN27">
        <f t="shared" si="40"/>
        <v>4.3592278932681326E-2</v>
      </c>
      <c r="BO27" s="147">
        <f t="shared" si="58"/>
        <v>43.592278932681324</v>
      </c>
      <c r="BP27" s="153">
        <f t="shared" si="41"/>
        <v>2.2852067320417148E-2</v>
      </c>
      <c r="BQ27" s="153">
        <f t="shared" si="42"/>
        <v>2.2889864733493411E-2</v>
      </c>
      <c r="BR27" s="463"/>
      <c r="BT27" s="147">
        <f t="shared" si="59"/>
        <v>45.741932053910553</v>
      </c>
      <c r="BU27" s="463">
        <f t="shared" si="43"/>
        <v>8.7282281634392112E-3</v>
      </c>
      <c r="BV27" s="463">
        <f t="shared" si="60"/>
        <v>1.8911082880127154E-2</v>
      </c>
      <c r="BW27" s="463">
        <f t="shared" si="44"/>
        <v>9.48027796694595E-4</v>
      </c>
      <c r="BX27" s="463">
        <f t="shared" si="45"/>
        <v>0</v>
      </c>
      <c r="BY27" s="463">
        <f t="shared" si="46"/>
        <v>3.2091211688478928E-2</v>
      </c>
      <c r="BZ27" s="463">
        <f t="shared" si="61"/>
        <v>2.8587338840260962E-2</v>
      </c>
      <c r="CA27" s="549">
        <f t="shared" si="47"/>
        <v>1.4510638297872342E-2</v>
      </c>
      <c r="CB27" s="147">
        <f t="shared" si="62"/>
        <v>46.601849986351269</v>
      </c>
      <c r="CC27" s="153">
        <f t="shared" si="63"/>
        <v>0.13593606097294314</v>
      </c>
      <c r="CD27" s="5">
        <f t="shared" si="64"/>
        <v>0.68200000000000005</v>
      </c>
      <c r="CE27" s="153">
        <f t="shared" si="65"/>
        <v>0.83380600580044628</v>
      </c>
      <c r="CF27" s="5">
        <f t="shared" si="66"/>
        <v>83.380600580044629</v>
      </c>
      <c r="CG27">
        <f t="shared" si="67"/>
        <v>22</v>
      </c>
      <c r="CI27" s="59">
        <f t="shared" si="48"/>
        <v>-50</v>
      </c>
      <c r="CJ27">
        <f t="shared" si="49"/>
        <v>-50</v>
      </c>
    </row>
    <row r="28" spans="5:88" x14ac:dyDescent="0.25">
      <c r="E28" s="150">
        <v>23</v>
      </c>
      <c r="F28" s="191">
        <f t="shared" si="68"/>
        <v>2.3000000000000003E-2</v>
      </c>
      <c r="G28" s="191">
        <f t="shared" si="50"/>
        <v>2.3000000000000003E-2</v>
      </c>
      <c r="H28" s="191">
        <f t="shared" si="0"/>
        <v>0.34500000000000003</v>
      </c>
      <c r="I28" s="191">
        <f t="shared" si="69"/>
        <v>0.36800000000000005</v>
      </c>
      <c r="J28" s="472">
        <f t="shared" si="1"/>
        <v>15</v>
      </c>
      <c r="K28" s="386">
        <f t="shared" si="2"/>
        <v>15.32</v>
      </c>
      <c r="L28" s="386">
        <f t="shared" si="3"/>
        <v>30.32</v>
      </c>
      <c r="M28" s="386"/>
      <c r="N28" s="191">
        <f t="shared" si="4"/>
        <v>0.50527704485488123</v>
      </c>
      <c r="O28" s="152">
        <f t="shared" si="51"/>
        <v>1.237725019150566</v>
      </c>
      <c r="P28" s="152">
        <f t="shared" si="5"/>
        <v>2.7284960422163587</v>
      </c>
      <c r="Q28" s="191">
        <f t="shared" si="6"/>
        <v>8.25150012767044E-2</v>
      </c>
      <c r="R28" s="191">
        <f t="shared" si="7"/>
        <v>7.7357813696910374E-2</v>
      </c>
      <c r="S28" s="386">
        <f t="shared" si="8"/>
        <v>15</v>
      </c>
      <c r="T28" s="191">
        <f t="shared" si="9"/>
        <v>0.20905289623827486</v>
      </c>
      <c r="U28" s="191">
        <f t="shared" si="10"/>
        <v>0.65503240821326114</v>
      </c>
      <c r="V28" s="191">
        <f t="shared" si="11"/>
        <v>0.64135026913831061</v>
      </c>
      <c r="W28" s="175">
        <f t="shared" si="12"/>
        <v>350</v>
      </c>
      <c r="X28" s="386">
        <f t="shared" si="52"/>
        <v>350</v>
      </c>
      <c r="Z28" s="191">
        <f t="shared" si="13"/>
        <v>0.46073894667618365</v>
      </c>
      <c r="AA28" s="153">
        <f t="shared" si="14"/>
        <v>1.4134941575574826</v>
      </c>
      <c r="AB28" s="153">
        <f t="shared" si="15"/>
        <v>0.11396906662504547</v>
      </c>
      <c r="AC28" s="153"/>
      <c r="AD28" s="153">
        <f t="shared" si="16"/>
        <v>0.46018276762402083</v>
      </c>
      <c r="AE28" s="317">
        <f t="shared" si="17"/>
        <v>666.40189125295535</v>
      </c>
      <c r="AF28" s="463">
        <f t="shared" si="18"/>
        <v>1.2079797650130546E-2</v>
      </c>
      <c r="AH28" s="153">
        <f t="shared" si="19"/>
        <v>0.29442644258147982</v>
      </c>
      <c r="AI28" s="153">
        <f t="shared" si="20"/>
        <v>0.29442644258147982</v>
      </c>
      <c r="AJ28" s="153">
        <f t="shared" si="21"/>
        <v>1.3069825500603554</v>
      </c>
      <c r="AL28" s="317">
        <f t="shared" si="22"/>
        <v>23.000000000000004</v>
      </c>
      <c r="AM28" s="147">
        <f t="shared" si="23"/>
        <v>350</v>
      </c>
      <c r="AO28">
        <f t="shared" si="53"/>
        <v>23.000000000000004</v>
      </c>
      <c r="AP28" s="147">
        <f t="shared" si="24"/>
        <v>350</v>
      </c>
      <c r="AQ28" s="147"/>
      <c r="AR28" s="5">
        <f t="shared" si="54"/>
        <v>2.8571428571428572</v>
      </c>
      <c r="AS28" s="5">
        <f t="shared" si="25"/>
        <v>0.92253618675530336</v>
      </c>
      <c r="AT28" s="5">
        <f t="shared" si="55"/>
        <v>1.934606670387554</v>
      </c>
      <c r="AU28" s="153">
        <f t="shared" si="56"/>
        <v>0.32288766536435615</v>
      </c>
      <c r="AW28" s="5">
        <f t="shared" si="26"/>
        <v>0.96692791308641945</v>
      </c>
      <c r="AX28" s="5">
        <f t="shared" si="27"/>
        <v>0.83625729903407398</v>
      </c>
      <c r="AY28" s="5">
        <f t="shared" si="28"/>
        <v>0.96440494504700414</v>
      </c>
      <c r="AZ28" s="5">
        <f t="shared" si="29"/>
        <v>0.41703288431262919</v>
      </c>
      <c r="BA28" s="5">
        <f t="shared" si="30"/>
        <v>0.13623452404803221</v>
      </c>
      <c r="BB28" s="147">
        <f t="shared" si="31"/>
        <v>10.376033748046858</v>
      </c>
      <c r="BC28" s="5"/>
      <c r="BD28" s="153">
        <f t="shared" si="57"/>
        <v>9.6592167513289293E-2</v>
      </c>
      <c r="BE28" s="153">
        <f t="shared" si="32"/>
        <v>0.13987707653083523</v>
      </c>
      <c r="BF28" s="153">
        <f t="shared" si="33"/>
        <v>0.14005992238250953</v>
      </c>
      <c r="BG28" s="153"/>
      <c r="BH28" s="463">
        <f t="shared" si="34"/>
        <v>3.2655163887203684E-3</v>
      </c>
      <c r="BI28" s="463">
        <f t="shared" si="35"/>
        <v>1.5622267043373319E-2</v>
      </c>
      <c r="BJ28" s="463">
        <f t="shared" si="36"/>
        <v>4.3749999999999995E-3</v>
      </c>
      <c r="BK28" s="463">
        <f t="shared" si="37"/>
        <v>1.6087792E-2</v>
      </c>
      <c r="BL28">
        <f t="shared" si="38"/>
        <v>4.3499999999999997E-3</v>
      </c>
      <c r="BM28">
        <f t="shared" si="39"/>
        <v>8.7499999999999992E-6</v>
      </c>
      <c r="BN28">
        <f t="shared" si="40"/>
        <v>4.4176786118089284E-2</v>
      </c>
      <c r="BO28" s="147">
        <f t="shared" si="58"/>
        <v>44.176786118089282</v>
      </c>
      <c r="BP28" s="153">
        <f t="shared" si="41"/>
        <v>2.3734115755653235E-2</v>
      </c>
      <c r="BQ28" s="153">
        <f t="shared" si="42"/>
        <v>2.3773221339355072E-2</v>
      </c>
      <c r="BR28" s="463"/>
      <c r="BT28" s="147">
        <f t="shared" si="59"/>
        <v>47.507337095008303</v>
      </c>
      <c r="BU28" s="463">
        <f t="shared" si="43"/>
        <v>9.330046824915339E-3</v>
      </c>
      <c r="BV28" s="463">
        <f t="shared" si="60"/>
        <v>1.9565596538813134E-2</v>
      </c>
      <c r="BW28" s="463">
        <f t="shared" si="44"/>
        <v>9.8083909288972961E-4</v>
      </c>
      <c r="BX28" s="463">
        <f t="shared" si="45"/>
        <v>0</v>
      </c>
      <c r="BY28" s="463">
        <f t="shared" si="46"/>
        <v>3.3541829301387251E-2</v>
      </c>
      <c r="BZ28" s="463">
        <f t="shared" si="61"/>
        <v>2.9876482456618204E-2</v>
      </c>
      <c r="CA28" s="549">
        <f t="shared" si="47"/>
        <v>1.5170212765957451E-2</v>
      </c>
      <c r="CB28" s="147">
        <f t="shared" si="62"/>
        <v>48.712042067344704</v>
      </c>
      <c r="CC28" s="153">
        <f t="shared" si="63"/>
        <v>0.1403961652804423</v>
      </c>
      <c r="CD28" s="5">
        <f t="shared" si="64"/>
        <v>0.71300000000000008</v>
      </c>
      <c r="CE28" s="153">
        <f t="shared" si="65"/>
        <v>0.83548535722057593</v>
      </c>
      <c r="CF28" s="5">
        <f t="shared" si="66"/>
        <v>83.548535722057593</v>
      </c>
      <c r="CG28">
        <f t="shared" si="67"/>
        <v>23</v>
      </c>
      <c r="CI28" s="59">
        <f t="shared" si="48"/>
        <v>-50</v>
      </c>
      <c r="CJ28">
        <f t="shared" si="49"/>
        <v>-50</v>
      </c>
    </row>
    <row r="29" spans="5:88" x14ac:dyDescent="0.25">
      <c r="E29" s="150">
        <v>24</v>
      </c>
      <c r="F29" s="191">
        <f t="shared" si="68"/>
        <v>2.4E-2</v>
      </c>
      <c r="G29" s="191">
        <f t="shared" si="50"/>
        <v>2.4E-2</v>
      </c>
      <c r="H29" s="191">
        <f t="shared" si="0"/>
        <v>0.36</v>
      </c>
      <c r="I29" s="191">
        <f t="shared" si="69"/>
        <v>0.38400000000000001</v>
      </c>
      <c r="J29" s="472">
        <f t="shared" si="1"/>
        <v>15</v>
      </c>
      <c r="K29" s="386">
        <f t="shared" si="2"/>
        <v>15.32</v>
      </c>
      <c r="L29" s="386">
        <f t="shared" si="3"/>
        <v>30.32</v>
      </c>
      <c r="M29" s="386"/>
      <c r="N29" s="191">
        <f t="shared" si="4"/>
        <v>0.50527704485488123</v>
      </c>
      <c r="O29" s="152">
        <f t="shared" si="51"/>
        <v>1.237725019150566</v>
      </c>
      <c r="P29" s="152">
        <f t="shared" si="5"/>
        <v>2.7284960422163587</v>
      </c>
      <c r="Q29" s="191">
        <f t="shared" si="6"/>
        <v>8.25150012767044E-2</v>
      </c>
      <c r="R29" s="191">
        <f t="shared" si="7"/>
        <v>7.7357813696910374E-2</v>
      </c>
      <c r="S29" s="386">
        <f t="shared" si="8"/>
        <v>15</v>
      </c>
      <c r="T29" s="191">
        <f t="shared" si="9"/>
        <v>0.21814215259646072</v>
      </c>
      <c r="U29" s="191">
        <f t="shared" si="10"/>
        <v>0.68351207813557679</v>
      </c>
      <c r="V29" s="191">
        <f t="shared" si="11"/>
        <v>0.66923506344867179</v>
      </c>
      <c r="W29" s="175">
        <f t="shared" si="12"/>
        <v>350</v>
      </c>
      <c r="X29" s="386">
        <f t="shared" si="52"/>
        <v>350</v>
      </c>
      <c r="Z29" s="191">
        <f t="shared" si="13"/>
        <v>0.46073894667618365</v>
      </c>
      <c r="AA29" s="153">
        <f t="shared" si="14"/>
        <v>1.4134941575574826</v>
      </c>
      <c r="AB29" s="153">
        <f t="shared" si="15"/>
        <v>0.11396906662504547</v>
      </c>
      <c r="AC29" s="153"/>
      <c r="AD29" s="153">
        <f t="shared" si="16"/>
        <v>0.46018276762402083</v>
      </c>
      <c r="AE29" s="317">
        <f t="shared" si="17"/>
        <v>695.37588652482293</v>
      </c>
      <c r="AF29" s="463">
        <f t="shared" si="18"/>
        <v>1.2079797650130546E-2</v>
      </c>
      <c r="AH29" s="153">
        <f t="shared" si="19"/>
        <v>0.30075891849066044</v>
      </c>
      <c r="AI29" s="153">
        <f t="shared" si="20"/>
        <v>0.30075891849066044</v>
      </c>
      <c r="AJ29" s="153">
        <f t="shared" si="21"/>
        <v>1.3116732729560447</v>
      </c>
      <c r="AL29" s="317">
        <f t="shared" si="22"/>
        <v>24</v>
      </c>
      <c r="AM29" s="147">
        <f t="shared" si="23"/>
        <v>350</v>
      </c>
      <c r="AO29">
        <f t="shared" si="53"/>
        <v>24</v>
      </c>
      <c r="AP29" s="147">
        <f t="shared" si="24"/>
        <v>350</v>
      </c>
      <c r="AQ29" s="147"/>
      <c r="AR29" s="5">
        <f t="shared" si="54"/>
        <v>2.8571428571428572</v>
      </c>
      <c r="AS29" s="5">
        <f t="shared" si="25"/>
        <v>0.94237794460406943</v>
      </c>
      <c r="AT29" s="5">
        <f t="shared" si="55"/>
        <v>1.9147649125387878</v>
      </c>
      <c r="AU29" s="153">
        <f t="shared" si="56"/>
        <v>0.32983228061142428</v>
      </c>
      <c r="AW29" s="5">
        <f t="shared" si="26"/>
        <v>0.96692791308641945</v>
      </c>
      <c r="AX29" s="5">
        <f t="shared" si="27"/>
        <v>0.9074257169066664</v>
      </c>
      <c r="AY29" s="5">
        <f t="shared" si="28"/>
        <v>0.96440494504700414</v>
      </c>
      <c r="AZ29" s="5">
        <f t="shared" si="29"/>
        <v>0.45199799879787217</v>
      </c>
      <c r="BA29" s="5">
        <f t="shared" si="30"/>
        <v>0.14069976246210944</v>
      </c>
      <c r="BB29" s="147">
        <f t="shared" si="31"/>
        <v>10.717815517991543</v>
      </c>
      <c r="BC29" s="5"/>
      <c r="BD29" s="153">
        <f t="shared" si="57"/>
        <v>9.9725096664570037E-2</v>
      </c>
      <c r="BE29" s="153">
        <f t="shared" si="32"/>
        <v>0.14215090847100745</v>
      </c>
      <c r="BF29" s="153">
        <f t="shared" si="33"/>
        <v>0.14233672665201533</v>
      </c>
      <c r="BG29" s="153"/>
      <c r="BH29" s="463">
        <f t="shared" si="34"/>
        <v>3.4807832166652429E-3</v>
      </c>
      <c r="BI29" s="463">
        <f t="shared" si="35"/>
        <v>1.5958268215114445E-2</v>
      </c>
      <c r="BJ29" s="463">
        <f t="shared" si="36"/>
        <v>4.3749999999999995E-3</v>
      </c>
      <c r="BK29" s="463">
        <f t="shared" si="37"/>
        <v>1.6087792E-2</v>
      </c>
      <c r="BL29">
        <f t="shared" si="38"/>
        <v>4.3499999999999997E-3</v>
      </c>
      <c r="BM29">
        <f t="shared" si="39"/>
        <v>8.7499999999999992E-6</v>
      </c>
      <c r="BN29">
        <f t="shared" si="40"/>
        <v>4.47592437539404E-2</v>
      </c>
      <c r="BO29" s="147">
        <f t="shared" si="58"/>
        <v>44.759243753940403</v>
      </c>
      <c r="BP29" s="153">
        <f t="shared" si="41"/>
        <v>2.4606056915257413E-2</v>
      </c>
      <c r="BQ29" s="153">
        <f t="shared" si="42"/>
        <v>2.4646444228064047E-2</v>
      </c>
      <c r="BR29" s="463"/>
      <c r="BT29" s="147">
        <f t="shared" si="59"/>
        <v>49.252501143321453</v>
      </c>
      <c r="BU29" s="463">
        <f t="shared" si="43"/>
        <v>9.9450949047578379E-3</v>
      </c>
      <c r="BV29" s="463">
        <f t="shared" si="60"/>
        <v>2.0206880779132737E-2</v>
      </c>
      <c r="BW29" s="463">
        <f t="shared" si="44"/>
        <v>1.0129871877005267E-3</v>
      </c>
      <c r="BX29" s="463">
        <f t="shared" si="45"/>
        <v>0</v>
      </c>
      <c r="BY29" s="463">
        <f t="shared" si="46"/>
        <v>3.4992000367562656E-2</v>
      </c>
      <c r="BZ29" s="463">
        <f t="shared" si="61"/>
        <v>3.1164962871591099E-2</v>
      </c>
      <c r="CA29" s="549">
        <f t="shared" si="47"/>
        <v>1.5829787234042554E-2</v>
      </c>
      <c r="CB29" s="147">
        <f t="shared" si="62"/>
        <v>50.821787601605209</v>
      </c>
      <c r="CC29" s="153">
        <f t="shared" si="63"/>
        <v>0.14483353249886705</v>
      </c>
      <c r="CD29" s="5">
        <f t="shared" si="64"/>
        <v>0.74399999999999999</v>
      </c>
      <c r="CE29" s="153">
        <f t="shared" si="65"/>
        <v>0.83705212820708741</v>
      </c>
      <c r="CF29" s="5">
        <f t="shared" si="66"/>
        <v>83.705212820708738</v>
      </c>
      <c r="CG29">
        <f t="shared" si="67"/>
        <v>24</v>
      </c>
      <c r="CI29" s="59">
        <f t="shared" si="48"/>
        <v>-50</v>
      </c>
      <c r="CJ29">
        <f t="shared" si="49"/>
        <v>-50</v>
      </c>
    </row>
    <row r="30" spans="5:88" x14ac:dyDescent="0.25">
      <c r="E30" s="150">
        <v>25</v>
      </c>
      <c r="F30" s="191">
        <f t="shared" si="68"/>
        <v>2.5000000000000001E-2</v>
      </c>
      <c r="G30" s="191">
        <f t="shared" si="50"/>
        <v>2.5000000000000001E-2</v>
      </c>
      <c r="H30" s="191">
        <f t="shared" si="0"/>
        <v>0.375</v>
      </c>
      <c r="I30" s="191">
        <f t="shared" si="69"/>
        <v>0.4</v>
      </c>
      <c r="J30" s="472">
        <f t="shared" si="1"/>
        <v>15</v>
      </c>
      <c r="K30" s="386">
        <f t="shared" si="2"/>
        <v>15.32</v>
      </c>
      <c r="L30" s="386">
        <f t="shared" si="3"/>
        <v>30.32</v>
      </c>
      <c r="M30" s="386"/>
      <c r="N30" s="191">
        <f t="shared" si="4"/>
        <v>0.50527704485488123</v>
      </c>
      <c r="O30" s="152">
        <f t="shared" si="51"/>
        <v>1.237725019150566</v>
      </c>
      <c r="P30" s="152">
        <f t="shared" si="5"/>
        <v>2.7284960422163587</v>
      </c>
      <c r="Q30" s="191">
        <f t="shared" si="6"/>
        <v>8.25150012767044E-2</v>
      </c>
      <c r="R30" s="191">
        <f t="shared" si="7"/>
        <v>7.7357813696910374E-2</v>
      </c>
      <c r="S30" s="386">
        <f t="shared" si="8"/>
        <v>15</v>
      </c>
      <c r="T30" s="191">
        <f t="shared" si="9"/>
        <v>0.22723140895464658</v>
      </c>
      <c r="U30" s="191">
        <f t="shared" si="10"/>
        <v>0.71199174805789256</v>
      </c>
      <c r="V30" s="191">
        <f t="shared" si="11"/>
        <v>0.69711985775903307</v>
      </c>
      <c r="W30" s="175">
        <f t="shared" si="12"/>
        <v>350</v>
      </c>
      <c r="X30" s="386">
        <f t="shared" si="52"/>
        <v>350</v>
      </c>
      <c r="Z30" s="191">
        <f t="shared" si="13"/>
        <v>0.46073894667618365</v>
      </c>
      <c r="AA30" s="153">
        <f t="shared" si="14"/>
        <v>1.4134941575574826</v>
      </c>
      <c r="AB30" s="153">
        <f t="shared" si="15"/>
        <v>0.11396906662504547</v>
      </c>
      <c r="AC30" s="153"/>
      <c r="AD30" s="153">
        <f t="shared" si="16"/>
        <v>0.46018276762402083</v>
      </c>
      <c r="AE30" s="317">
        <f t="shared" si="17"/>
        <v>724.34988179669051</v>
      </c>
      <c r="AF30" s="463">
        <f t="shared" si="18"/>
        <v>1.2079797650130546E-2</v>
      </c>
      <c r="AH30" s="153">
        <f t="shared" si="19"/>
        <v>0.30696078578893116</v>
      </c>
      <c r="AI30" s="153">
        <f t="shared" si="20"/>
        <v>0.30696078578893116</v>
      </c>
      <c r="AJ30" s="153">
        <f t="shared" si="21"/>
        <v>1.3162672487325415</v>
      </c>
      <c r="AL30" s="317">
        <f t="shared" si="22"/>
        <v>25</v>
      </c>
      <c r="AM30" s="147">
        <f t="shared" si="23"/>
        <v>350</v>
      </c>
      <c r="AO30">
        <f t="shared" si="53"/>
        <v>25</v>
      </c>
      <c r="AP30" s="147">
        <f t="shared" si="24"/>
        <v>350</v>
      </c>
      <c r="AQ30" s="147"/>
      <c r="AR30" s="5">
        <f t="shared" si="54"/>
        <v>2.8571428571428572</v>
      </c>
      <c r="AS30" s="5">
        <f t="shared" si="25"/>
        <v>0.96181046213865096</v>
      </c>
      <c r="AT30" s="5">
        <f t="shared" si="55"/>
        <v>1.8953323950042062</v>
      </c>
      <c r="AU30" s="153">
        <f t="shared" si="56"/>
        <v>0.33663366174852782</v>
      </c>
      <c r="AW30" s="5">
        <f t="shared" si="26"/>
        <v>0.96692791308641945</v>
      </c>
      <c r="AX30" s="5">
        <f t="shared" si="27"/>
        <v>0.98149491851851822</v>
      </c>
      <c r="AY30" s="5">
        <f t="shared" si="28"/>
        <v>0.96440494504700414</v>
      </c>
      <c r="AZ30" s="5">
        <f t="shared" si="29"/>
        <v>0.48836588411227455</v>
      </c>
      <c r="BA30" s="5">
        <f t="shared" si="30"/>
        <v>0.14507482529661828</v>
      </c>
      <c r="BB30" s="147">
        <f t="shared" si="31"/>
        <v>11.052834119468592</v>
      </c>
      <c r="BC30" s="5"/>
      <c r="BD30" s="153">
        <f t="shared" si="57"/>
        <v>0.10282554999964676</v>
      </c>
      <c r="BE30" s="153">
        <f t="shared" si="32"/>
        <v>0.14434408291067161</v>
      </c>
      <c r="BF30" s="153">
        <f t="shared" si="33"/>
        <v>0.14453276798637182</v>
      </c>
      <c r="BG30" s="153"/>
      <c r="BH30" s="463">
        <f t="shared" si="34"/>
        <v>3.7005828064554489E-3</v>
      </c>
      <c r="BI30" s="463">
        <f t="shared" si="35"/>
        <v>1.6287339293960687E-2</v>
      </c>
      <c r="BJ30" s="463">
        <f t="shared" si="36"/>
        <v>4.3749999999999995E-3</v>
      </c>
      <c r="BK30" s="463">
        <f t="shared" si="37"/>
        <v>1.6087792E-2</v>
      </c>
      <c r="BL30">
        <f t="shared" si="38"/>
        <v>4.3499999999999997E-3</v>
      </c>
      <c r="BM30">
        <f t="shared" si="39"/>
        <v>8.7499999999999992E-6</v>
      </c>
      <c r="BN30">
        <f t="shared" si="40"/>
        <v>4.5339999004918266E-2</v>
      </c>
      <c r="BO30" s="147">
        <f t="shared" si="58"/>
        <v>45.339999004918269</v>
      </c>
      <c r="BP30" s="153">
        <f t="shared" si="41"/>
        <v>2.5468103703290654E-2</v>
      </c>
      <c r="BQ30" s="153">
        <f t="shared" si="42"/>
        <v>2.5509746860657028E-2</v>
      </c>
      <c r="BR30" s="463"/>
      <c r="BT30" s="147">
        <f t="shared" si="59"/>
        <v>50.977850563947683</v>
      </c>
      <c r="BU30" s="463">
        <f t="shared" si="43"/>
        <v>1.0573093732729855E-2</v>
      </c>
      <c r="BV30" s="463">
        <f t="shared" si="60"/>
        <v>2.083521427132284E-2</v>
      </c>
      <c r="BW30" s="463">
        <f t="shared" si="44"/>
        <v>1.0444860510901194E-3</v>
      </c>
      <c r="BX30" s="463">
        <f t="shared" si="45"/>
        <v>0</v>
      </c>
      <c r="BY30" s="463">
        <f t="shared" si="46"/>
        <v>3.6441740245054664E-2</v>
      </c>
      <c r="BZ30" s="463">
        <f t="shared" si="61"/>
        <v>3.2452794055142821E-2</v>
      </c>
      <c r="CA30" s="549">
        <f t="shared" si="47"/>
        <v>1.6489361702127669E-2</v>
      </c>
      <c r="CB30" s="147">
        <f t="shared" si="62"/>
        <v>52.931101947182334</v>
      </c>
      <c r="CC30" s="153">
        <f t="shared" si="63"/>
        <v>0.14924895151604828</v>
      </c>
      <c r="CD30" s="5">
        <f t="shared" si="64"/>
        <v>0.77500000000000002</v>
      </c>
      <c r="CE30" s="153">
        <f t="shared" si="65"/>
        <v>0.83851866829685351</v>
      </c>
      <c r="CF30" s="5">
        <f t="shared" si="66"/>
        <v>83.851866829685349</v>
      </c>
      <c r="CG30">
        <f t="shared" si="67"/>
        <v>25</v>
      </c>
      <c r="CI30" s="59">
        <f t="shared" si="48"/>
        <v>-50</v>
      </c>
      <c r="CJ30">
        <f t="shared" si="49"/>
        <v>-50</v>
      </c>
    </row>
    <row r="31" spans="5:88" x14ac:dyDescent="0.25">
      <c r="E31" s="150">
        <v>26</v>
      </c>
      <c r="F31" s="191">
        <f t="shared" si="68"/>
        <v>2.6000000000000002E-2</v>
      </c>
      <c r="G31" s="191">
        <f t="shared" si="50"/>
        <v>2.6000000000000002E-2</v>
      </c>
      <c r="H31" s="191">
        <f t="shared" si="0"/>
        <v>0.39</v>
      </c>
      <c r="I31" s="191">
        <f t="shared" si="69"/>
        <v>0.41600000000000004</v>
      </c>
      <c r="J31" s="472">
        <f t="shared" si="1"/>
        <v>15</v>
      </c>
      <c r="K31" s="386">
        <f t="shared" si="2"/>
        <v>15.32</v>
      </c>
      <c r="L31" s="386">
        <f t="shared" si="3"/>
        <v>30.32</v>
      </c>
      <c r="M31" s="386"/>
      <c r="N31" s="191">
        <f t="shared" si="4"/>
        <v>0.50527704485488123</v>
      </c>
      <c r="O31" s="152">
        <f t="shared" si="51"/>
        <v>1.237725019150566</v>
      </c>
      <c r="P31" s="152">
        <f t="shared" si="5"/>
        <v>2.7284960422163587</v>
      </c>
      <c r="Q31" s="191">
        <f t="shared" si="6"/>
        <v>8.25150012767044E-2</v>
      </c>
      <c r="R31" s="191">
        <f t="shared" si="7"/>
        <v>7.7357813696910374E-2</v>
      </c>
      <c r="S31" s="386">
        <f t="shared" si="8"/>
        <v>15</v>
      </c>
      <c r="T31" s="191">
        <f t="shared" si="9"/>
        <v>0.23632066531283244</v>
      </c>
      <c r="U31" s="191">
        <f t="shared" si="10"/>
        <v>0.74047141798020821</v>
      </c>
      <c r="V31" s="191">
        <f t="shared" si="11"/>
        <v>0.72500465206939446</v>
      </c>
      <c r="W31" s="175">
        <f t="shared" si="12"/>
        <v>350</v>
      </c>
      <c r="X31" s="386">
        <f t="shared" si="52"/>
        <v>350</v>
      </c>
      <c r="Z31" s="191">
        <f t="shared" si="13"/>
        <v>0.46073894667618365</v>
      </c>
      <c r="AA31" s="153">
        <f t="shared" si="14"/>
        <v>1.4134941575574826</v>
      </c>
      <c r="AB31" s="153">
        <f t="shared" si="15"/>
        <v>0.11396906662504547</v>
      </c>
      <c r="AC31" s="153"/>
      <c r="AD31" s="153">
        <f t="shared" si="16"/>
        <v>0.46018276762402083</v>
      </c>
      <c r="AE31" s="317">
        <f t="shared" si="17"/>
        <v>753.32387706855809</v>
      </c>
      <c r="AF31" s="463">
        <f t="shared" si="18"/>
        <v>1.2079797650130546E-2</v>
      </c>
      <c r="AH31" s="153">
        <f t="shared" si="19"/>
        <v>0.31303980732910691</v>
      </c>
      <c r="AI31" s="153">
        <f t="shared" si="20"/>
        <v>0.31303980732910691</v>
      </c>
      <c r="AJ31" s="153">
        <f t="shared" si="21"/>
        <v>1.3207702276511903</v>
      </c>
      <c r="AL31" s="317">
        <f t="shared" si="22"/>
        <v>26.000000000000004</v>
      </c>
      <c r="AM31" s="147">
        <f t="shared" si="23"/>
        <v>350</v>
      </c>
      <c r="AO31">
        <f t="shared" si="53"/>
        <v>26.000000000000004</v>
      </c>
      <c r="AP31" s="147">
        <f t="shared" si="24"/>
        <v>350</v>
      </c>
      <c r="AQ31" s="147"/>
      <c r="AR31" s="5">
        <f t="shared" si="54"/>
        <v>2.8571428571428572</v>
      </c>
      <c r="AS31" s="5">
        <f t="shared" si="25"/>
        <v>0.98085806296453493</v>
      </c>
      <c r="AT31" s="5">
        <f t="shared" si="55"/>
        <v>1.8762847941783223</v>
      </c>
      <c r="AU31" s="153">
        <f t="shared" si="56"/>
        <v>0.3433003220375872</v>
      </c>
      <c r="AW31" s="5">
        <f t="shared" si="26"/>
        <v>0.96692791308641945</v>
      </c>
      <c r="AX31" s="5">
        <f t="shared" si="27"/>
        <v>1.0584649038696294</v>
      </c>
      <c r="AY31" s="5">
        <f t="shared" si="28"/>
        <v>0.96440494504700414</v>
      </c>
      <c r="AZ31" s="5">
        <f t="shared" si="29"/>
        <v>0.52613654025583634</v>
      </c>
      <c r="BA31" s="5">
        <f t="shared" si="30"/>
        <v>0.14936153522051632</v>
      </c>
      <c r="BB31" s="147">
        <f t="shared" si="31"/>
        <v>11.381226252649835</v>
      </c>
      <c r="BC31" s="5"/>
      <c r="BD31" s="153">
        <f t="shared" si="57"/>
        <v>0.10589514409331949</v>
      </c>
      <c r="BE31" s="153">
        <f t="shared" si="32"/>
        <v>0.14646111696170386</v>
      </c>
      <c r="BF31" s="153">
        <f t="shared" si="33"/>
        <v>0.14665256940217666</v>
      </c>
      <c r="BG31" s="153"/>
      <c r="BH31" s="463">
        <f t="shared" si="34"/>
        <v>3.9248235398907138E-3</v>
      </c>
      <c r="BI31" s="463">
        <f t="shared" si="35"/>
        <v>1.6609892176882416E-2</v>
      </c>
      <c r="BJ31" s="463">
        <f t="shared" si="36"/>
        <v>4.3749999999999995E-3</v>
      </c>
      <c r="BK31" s="463">
        <f t="shared" si="37"/>
        <v>1.6087792E-2</v>
      </c>
      <c r="BL31">
        <f t="shared" si="38"/>
        <v>4.3499999999999997E-3</v>
      </c>
      <c r="BM31">
        <f t="shared" si="39"/>
        <v>8.7499999999999992E-6</v>
      </c>
      <c r="BN31">
        <f t="shared" si="40"/>
        <v>4.5919360478549359E-2</v>
      </c>
      <c r="BO31" s="147">
        <f t="shared" si="58"/>
        <v>45.919360478549358</v>
      </c>
      <c r="BP31" s="153">
        <f t="shared" si="41"/>
        <v>2.6320456109195804E-2</v>
      </c>
      <c r="BQ31" s="153">
        <f t="shared" si="42"/>
        <v>2.6363329749766826E-2</v>
      </c>
      <c r="BR31" s="463"/>
      <c r="BT31" s="147">
        <f t="shared" si="59"/>
        <v>52.683785858962636</v>
      </c>
      <c r="BU31" s="463">
        <f t="shared" si="43"/>
        <v>1.1213781542544897E-2</v>
      </c>
      <c r="BV31" s="463">
        <f t="shared" si="60"/>
        <v>2.1450858781669899E-2</v>
      </c>
      <c r="BW31" s="463">
        <f t="shared" si="44"/>
        <v>1.0753488056130121E-3</v>
      </c>
      <c r="BX31" s="463">
        <f t="shared" si="45"/>
        <v>0</v>
      </c>
      <c r="BY31" s="463">
        <f t="shared" si="46"/>
        <v>3.7891063350652641E-2</v>
      </c>
      <c r="BZ31" s="463">
        <f t="shared" si="61"/>
        <v>3.3739989129827806E-2</v>
      </c>
      <c r="CA31" s="549">
        <f t="shared" si="47"/>
        <v>1.7148936170212771E-2</v>
      </c>
      <c r="CB31" s="147">
        <f t="shared" si="62"/>
        <v>55.039999520865415</v>
      </c>
      <c r="CC31" s="153">
        <f t="shared" si="63"/>
        <v>0.15364314585837741</v>
      </c>
      <c r="CD31" s="5">
        <f t="shared" si="64"/>
        <v>0.80600000000000005</v>
      </c>
      <c r="CE31" s="153">
        <f t="shared" si="65"/>
        <v>0.83989554187775983</v>
      </c>
      <c r="CF31" s="5">
        <f t="shared" si="66"/>
        <v>83.98955418777598</v>
      </c>
      <c r="CG31">
        <f t="shared" si="67"/>
        <v>26</v>
      </c>
      <c r="CI31" s="59">
        <f t="shared" si="48"/>
        <v>-50</v>
      </c>
      <c r="CJ31">
        <f t="shared" si="49"/>
        <v>-50</v>
      </c>
    </row>
    <row r="32" spans="5:88" x14ac:dyDescent="0.25">
      <c r="E32" s="150">
        <v>27</v>
      </c>
      <c r="F32" s="191">
        <f t="shared" si="68"/>
        <v>2.7000000000000003E-2</v>
      </c>
      <c r="G32" s="191">
        <f t="shared" si="50"/>
        <v>2.7000000000000003E-2</v>
      </c>
      <c r="H32" s="191">
        <f t="shared" si="0"/>
        <v>0.40500000000000003</v>
      </c>
      <c r="I32" s="191">
        <f t="shared" si="69"/>
        <v>0.43200000000000005</v>
      </c>
      <c r="J32" s="472">
        <f t="shared" si="1"/>
        <v>15</v>
      </c>
      <c r="K32" s="386">
        <f t="shared" si="2"/>
        <v>15.32</v>
      </c>
      <c r="L32" s="386">
        <f t="shared" si="3"/>
        <v>30.32</v>
      </c>
      <c r="M32" s="386"/>
      <c r="N32" s="191">
        <f t="shared" si="4"/>
        <v>0.50527704485488123</v>
      </c>
      <c r="O32" s="152">
        <f t="shared" si="51"/>
        <v>1.237725019150566</v>
      </c>
      <c r="P32" s="152">
        <f t="shared" si="5"/>
        <v>2.7284960422163587</v>
      </c>
      <c r="Q32" s="191">
        <f t="shared" si="6"/>
        <v>8.25150012767044E-2</v>
      </c>
      <c r="R32" s="191">
        <f t="shared" si="7"/>
        <v>7.7357813696910374E-2</v>
      </c>
      <c r="S32" s="386">
        <f t="shared" si="8"/>
        <v>15</v>
      </c>
      <c r="T32" s="191">
        <f t="shared" si="9"/>
        <v>0.24540992167101833</v>
      </c>
      <c r="U32" s="191">
        <f t="shared" si="10"/>
        <v>0.76895108790252409</v>
      </c>
      <c r="V32" s="191">
        <f t="shared" si="11"/>
        <v>0.75288944637975586</v>
      </c>
      <c r="W32" s="175">
        <f t="shared" si="12"/>
        <v>350</v>
      </c>
      <c r="X32" s="386">
        <f t="shared" si="52"/>
        <v>350</v>
      </c>
      <c r="Z32" s="191">
        <f t="shared" si="13"/>
        <v>0.46073894667618365</v>
      </c>
      <c r="AA32" s="153">
        <f t="shared" si="14"/>
        <v>1.4134941575574826</v>
      </c>
      <c r="AB32" s="153">
        <f t="shared" si="15"/>
        <v>0.11396906662504547</v>
      </c>
      <c r="AC32" s="153"/>
      <c r="AD32" s="153">
        <f t="shared" si="16"/>
        <v>0.46018276762402083</v>
      </c>
      <c r="AE32" s="317">
        <f t="shared" si="17"/>
        <v>782.2978723404259</v>
      </c>
      <c r="AF32" s="463">
        <f t="shared" si="18"/>
        <v>1.2079797650130546E-2</v>
      </c>
      <c r="AH32" s="153">
        <f t="shared" si="19"/>
        <v>0.31900300615061716</v>
      </c>
      <c r="AI32" s="153">
        <f t="shared" si="20"/>
        <v>0.31900300615061716</v>
      </c>
      <c r="AJ32" s="153">
        <f t="shared" si="21"/>
        <v>1.3251874119634202</v>
      </c>
      <c r="AL32" s="317">
        <f t="shared" si="22"/>
        <v>27.000000000000004</v>
      </c>
      <c r="AM32" s="147">
        <f t="shared" si="23"/>
        <v>350</v>
      </c>
      <c r="AO32">
        <f t="shared" si="53"/>
        <v>27.000000000000004</v>
      </c>
      <c r="AP32" s="147">
        <f t="shared" si="24"/>
        <v>350</v>
      </c>
      <c r="AQ32" s="147"/>
      <c r="AR32" s="5">
        <f t="shared" si="54"/>
        <v>2.8571428571428572</v>
      </c>
      <c r="AS32" s="5">
        <f t="shared" si="25"/>
        <v>0.99954275260526704</v>
      </c>
      <c r="AT32" s="5">
        <f t="shared" si="55"/>
        <v>1.8576001045375903</v>
      </c>
      <c r="AU32" s="153">
        <f t="shared" si="56"/>
        <v>0.34983996341184348</v>
      </c>
      <c r="AW32" s="5">
        <f t="shared" si="26"/>
        <v>0.96692791308641945</v>
      </c>
      <c r="AX32" s="5">
        <f t="shared" si="27"/>
        <v>1.1383356729599998</v>
      </c>
      <c r="AY32" s="5">
        <f t="shared" si="28"/>
        <v>0.96440494504700414</v>
      </c>
      <c r="AZ32" s="5">
        <f t="shared" si="29"/>
        <v>0.5653099672285572</v>
      </c>
      <c r="BA32" s="5">
        <f t="shared" si="30"/>
        <v>0.15356160864177415</v>
      </c>
      <c r="BB32" s="147">
        <f t="shared" si="31"/>
        <v>11.70312064813306</v>
      </c>
      <c r="BC32" s="5"/>
      <c r="BD32" s="153">
        <f t="shared" si="57"/>
        <v>0.10893535619257394</v>
      </c>
      <c r="BE32" s="153">
        <f t="shared" si="32"/>
        <v>0.14850609689697572</v>
      </c>
      <c r="BF32" s="153">
        <f t="shared" si="33"/>
        <v>0.1487002225138345</v>
      </c>
      <c r="BG32" s="153"/>
      <c r="BH32" s="463">
        <f t="shared" si="34"/>
        <v>4.1534191400810347E-3</v>
      </c>
      <c r="BI32" s="463">
        <f t="shared" si="35"/>
        <v>1.6926299506351748E-2</v>
      </c>
      <c r="BJ32" s="463">
        <f t="shared" si="36"/>
        <v>4.3749999999999995E-3</v>
      </c>
      <c r="BK32" s="463">
        <f t="shared" si="37"/>
        <v>1.6087792E-2</v>
      </c>
      <c r="BL32">
        <f t="shared" si="38"/>
        <v>4.3499999999999997E-3</v>
      </c>
      <c r="BM32">
        <f t="shared" si="39"/>
        <v>8.7499999999999992E-6</v>
      </c>
      <c r="BN32">
        <f t="shared" si="40"/>
        <v>4.6497603615137571E-2</v>
      </c>
      <c r="BO32" s="147">
        <f t="shared" si="58"/>
        <v>46.497603615137571</v>
      </c>
      <c r="BP32" s="153">
        <f t="shared" si="41"/>
        <v>2.7163302463098497E-2</v>
      </c>
      <c r="BQ32" s="153">
        <f t="shared" si="42"/>
        <v>2.7207381718207219E-2</v>
      </c>
      <c r="BR32" s="463"/>
      <c r="BT32" s="147">
        <f t="shared" si="59"/>
        <v>54.370684181305712</v>
      </c>
      <c r="BU32" s="463">
        <f t="shared" si="43"/>
        <v>1.1866911828802958E-2</v>
      </c>
      <c r="BV32" s="463">
        <f t="shared" si="60"/>
        <v>2.2054060815573942E-2</v>
      </c>
      <c r="BW32" s="463">
        <f t="shared" si="44"/>
        <v>1.1055878087831946E-3</v>
      </c>
      <c r="BX32" s="463">
        <f t="shared" si="45"/>
        <v>0</v>
      </c>
      <c r="BY32" s="463">
        <f t="shared" si="46"/>
        <v>3.9339983251666572E-2</v>
      </c>
      <c r="BZ32" s="463">
        <f t="shared" si="61"/>
        <v>3.5026560453160091E-2</v>
      </c>
      <c r="CA32" s="549">
        <f t="shared" si="47"/>
        <v>1.7808510638297873E-2</v>
      </c>
      <c r="CB32" s="147">
        <f t="shared" si="62"/>
        <v>57.148493889964442</v>
      </c>
      <c r="CC32" s="153">
        <f t="shared" si="63"/>
        <v>0.1580167816864077</v>
      </c>
      <c r="CD32" s="5">
        <f t="shared" si="64"/>
        <v>0.83700000000000008</v>
      </c>
      <c r="CE32" s="153">
        <f t="shared" si="65"/>
        <v>0.84119184259526525</v>
      </c>
      <c r="CF32" s="5">
        <f t="shared" si="66"/>
        <v>84.11918425952652</v>
      </c>
      <c r="CG32">
        <f t="shared" si="67"/>
        <v>27</v>
      </c>
      <c r="CI32" s="59">
        <f t="shared" si="48"/>
        <v>-50</v>
      </c>
      <c r="CJ32">
        <f t="shared" si="49"/>
        <v>-50</v>
      </c>
    </row>
    <row r="33" spans="5:88" x14ac:dyDescent="0.25">
      <c r="E33" s="150">
        <v>28</v>
      </c>
      <c r="F33" s="191">
        <f t="shared" si="68"/>
        <v>2.8000000000000004E-2</v>
      </c>
      <c r="G33" s="191">
        <f t="shared" si="50"/>
        <v>2.8000000000000004E-2</v>
      </c>
      <c r="H33" s="191">
        <f t="shared" si="0"/>
        <v>0.42000000000000004</v>
      </c>
      <c r="I33" s="191">
        <f t="shared" si="69"/>
        <v>0.44800000000000006</v>
      </c>
      <c r="J33" s="472">
        <f t="shared" si="1"/>
        <v>15</v>
      </c>
      <c r="K33" s="386">
        <f t="shared" si="2"/>
        <v>15.32</v>
      </c>
      <c r="L33" s="386">
        <f t="shared" si="3"/>
        <v>30.32</v>
      </c>
      <c r="M33" s="386"/>
      <c r="N33" s="191">
        <f t="shared" si="4"/>
        <v>0.50527704485488123</v>
      </c>
      <c r="O33" s="152">
        <f t="shared" si="51"/>
        <v>1.237725019150566</v>
      </c>
      <c r="P33" s="152">
        <f t="shared" si="5"/>
        <v>2.7284960422163587</v>
      </c>
      <c r="Q33" s="191">
        <f t="shared" si="6"/>
        <v>8.25150012767044E-2</v>
      </c>
      <c r="R33" s="191">
        <f t="shared" si="7"/>
        <v>7.7357813696910374E-2</v>
      </c>
      <c r="S33" s="386">
        <f t="shared" si="8"/>
        <v>15</v>
      </c>
      <c r="T33" s="191">
        <f t="shared" si="9"/>
        <v>0.25449917802920419</v>
      </c>
      <c r="U33" s="191">
        <f t="shared" si="10"/>
        <v>0.79743075782483974</v>
      </c>
      <c r="V33" s="191">
        <f t="shared" si="11"/>
        <v>0.78077424069011714</v>
      </c>
      <c r="W33" s="175">
        <f t="shared" si="12"/>
        <v>350</v>
      </c>
      <c r="X33" s="386">
        <f t="shared" si="52"/>
        <v>350</v>
      </c>
      <c r="Z33" s="191">
        <f t="shared" si="13"/>
        <v>0.46073894667618365</v>
      </c>
      <c r="AA33" s="153">
        <f t="shared" si="14"/>
        <v>1.4134941575574826</v>
      </c>
      <c r="AB33" s="153">
        <f t="shared" si="15"/>
        <v>0.11396906662504547</v>
      </c>
      <c r="AC33" s="153"/>
      <c r="AD33" s="153">
        <f t="shared" si="16"/>
        <v>0.46018276762402083</v>
      </c>
      <c r="AE33" s="317">
        <f t="shared" si="17"/>
        <v>811.27186761229348</v>
      </c>
      <c r="AF33" s="463">
        <f t="shared" si="18"/>
        <v>1.2079797650130546E-2</v>
      </c>
      <c r="AH33" s="153">
        <f t="shared" si="19"/>
        <v>0.32485676057859258</v>
      </c>
      <c r="AI33" s="153">
        <f t="shared" si="20"/>
        <v>0.32485676057859258</v>
      </c>
      <c r="AJ33" s="153">
        <f t="shared" si="21"/>
        <v>1.3295235263545129</v>
      </c>
      <c r="AL33" s="317">
        <f t="shared" si="22"/>
        <v>28.000000000000004</v>
      </c>
      <c r="AM33" s="147">
        <f t="shared" si="23"/>
        <v>350</v>
      </c>
      <c r="AO33">
        <f t="shared" si="53"/>
        <v>28.000000000000004</v>
      </c>
      <c r="AP33" s="147">
        <f t="shared" si="24"/>
        <v>350</v>
      </c>
      <c r="AQ33" s="147"/>
      <c r="AR33" s="5">
        <f t="shared" si="54"/>
        <v>2.8571428571428572</v>
      </c>
      <c r="AS33" s="5">
        <f t="shared" si="25"/>
        <v>1.01788451647959</v>
      </c>
      <c r="AT33" s="5">
        <f t="shared" si="55"/>
        <v>1.8392583406632672</v>
      </c>
      <c r="AU33" s="153">
        <f t="shared" si="56"/>
        <v>0.35625958076785647</v>
      </c>
      <c r="AW33" s="5">
        <f t="shared" si="26"/>
        <v>0.96692791308641945</v>
      </c>
      <c r="AX33" s="5">
        <f t="shared" si="27"/>
        <v>1.2211072257896294</v>
      </c>
      <c r="AY33" s="5">
        <f t="shared" si="28"/>
        <v>0.96440494504700414</v>
      </c>
      <c r="AZ33" s="5">
        <f t="shared" si="29"/>
        <v>0.60588616503043724</v>
      </c>
      <c r="BA33" s="5">
        <f t="shared" si="30"/>
        <v>0.15767666564895963</v>
      </c>
      <c r="BB33" s="147">
        <f t="shared" si="31"/>
        <v>12.018638812560859</v>
      </c>
      <c r="BC33" s="5"/>
      <c r="BD33" s="153">
        <f t="shared" si="57"/>
        <v>0.11194754092524634</v>
      </c>
      <c r="BE33" s="153">
        <f t="shared" si="32"/>
        <v>0.15048273337937915</v>
      </c>
      <c r="BF33" s="153">
        <f t="shared" si="33"/>
        <v>0.15067944283477702</v>
      </c>
      <c r="BG33" s="153"/>
      <c r="BH33" s="463">
        <f t="shared" si="34"/>
        <v>4.3862881717233954E-3</v>
      </c>
      <c r="BI33" s="463">
        <f t="shared" si="35"/>
        <v>1.7236899716300123E-2</v>
      </c>
      <c r="BJ33" s="463">
        <f t="shared" si="36"/>
        <v>4.3749999999999995E-3</v>
      </c>
      <c r="BK33" s="463">
        <f t="shared" si="37"/>
        <v>1.6087792E-2</v>
      </c>
      <c r="BL33">
        <f t="shared" si="38"/>
        <v>4.3499999999999997E-3</v>
      </c>
      <c r="BM33">
        <f t="shared" si="39"/>
        <v>8.7499999999999992E-6</v>
      </c>
      <c r="BN33">
        <f t="shared" si="40"/>
        <v>4.7074975164251028E-2</v>
      </c>
      <c r="BO33" s="147">
        <f t="shared" si="58"/>
        <v>47.074975164251029</v>
      </c>
      <c r="BP33" s="153">
        <f t="shared" si="41"/>
        <v>2.7996820526631598E-2</v>
      </c>
      <c r="BQ33" s="153">
        <f t="shared" si="42"/>
        <v>2.8042080992651115E-2</v>
      </c>
      <c r="BR33" s="463"/>
      <c r="BT33" s="147">
        <f t="shared" si="59"/>
        <v>56.038901519282717</v>
      </c>
      <c r="BU33" s="463">
        <f t="shared" si="43"/>
        <v>1.2532251919209703E-2</v>
      </c>
      <c r="BV33" s="463">
        <f t="shared" si="60"/>
        <v>2.2645053045329312E-2</v>
      </c>
      <c r="BW33" s="463">
        <f t="shared" si="44"/>
        <v>1.1352147246499419E-3</v>
      </c>
      <c r="BX33" s="463">
        <f t="shared" si="45"/>
        <v>0</v>
      </c>
      <c r="BY33" s="463">
        <f t="shared" si="46"/>
        <v>4.0788512745665202E-2</v>
      </c>
      <c r="BZ33" s="463">
        <f t="shared" si="61"/>
        <v>3.631251968918895E-2</v>
      </c>
      <c r="CA33" s="549">
        <f t="shared" si="47"/>
        <v>1.8468085106382984E-2</v>
      </c>
      <c r="CB33" s="147">
        <f t="shared" si="62"/>
        <v>59.256597852048188</v>
      </c>
      <c r="CC33" s="153">
        <f t="shared" si="63"/>
        <v>0.16237047453558193</v>
      </c>
      <c r="CD33" s="5">
        <f t="shared" si="64"/>
        <v>0.8680000000000001</v>
      </c>
      <c r="CE33" s="153">
        <f t="shared" si="65"/>
        <v>0.84241544323291395</v>
      </c>
      <c r="CF33" s="5">
        <f t="shared" si="66"/>
        <v>84.241544323291393</v>
      </c>
      <c r="CG33">
        <f t="shared" si="67"/>
        <v>28.000000000000004</v>
      </c>
      <c r="CI33" s="59">
        <f t="shared" si="48"/>
        <v>-50</v>
      </c>
      <c r="CJ33">
        <f t="shared" si="49"/>
        <v>-50</v>
      </c>
    </row>
    <row r="34" spans="5:88" x14ac:dyDescent="0.25">
      <c r="E34" s="150">
        <v>29</v>
      </c>
      <c r="F34" s="191">
        <f t="shared" si="68"/>
        <v>2.8999999999999998E-2</v>
      </c>
      <c r="G34" s="191">
        <f t="shared" si="50"/>
        <v>2.8999999999999998E-2</v>
      </c>
      <c r="H34" s="191">
        <f t="shared" si="0"/>
        <v>0.43499999999999994</v>
      </c>
      <c r="I34" s="191">
        <f t="shared" si="69"/>
        <v>0.46399999999999997</v>
      </c>
      <c r="J34" s="472">
        <f t="shared" si="1"/>
        <v>15</v>
      </c>
      <c r="K34" s="386">
        <f t="shared" si="2"/>
        <v>15.32</v>
      </c>
      <c r="L34" s="386">
        <f t="shared" si="3"/>
        <v>30.32</v>
      </c>
      <c r="M34" s="386"/>
      <c r="N34" s="191">
        <f t="shared" si="4"/>
        <v>0.50527704485488123</v>
      </c>
      <c r="O34" s="152">
        <f t="shared" si="51"/>
        <v>1.237725019150566</v>
      </c>
      <c r="P34" s="152">
        <f t="shared" si="5"/>
        <v>2.7284960422163587</v>
      </c>
      <c r="Q34" s="191">
        <f t="shared" si="6"/>
        <v>8.25150012767044E-2</v>
      </c>
      <c r="R34" s="191">
        <f t="shared" si="7"/>
        <v>7.7357813696910374E-2</v>
      </c>
      <c r="S34" s="386">
        <f t="shared" si="8"/>
        <v>15</v>
      </c>
      <c r="T34" s="191">
        <f t="shared" si="9"/>
        <v>0.26358843438738999</v>
      </c>
      <c r="U34" s="191">
        <f t="shared" si="10"/>
        <v>0.82591042774715517</v>
      </c>
      <c r="V34" s="191">
        <f t="shared" si="11"/>
        <v>0.80865903500047831</v>
      </c>
      <c r="W34" s="175">
        <f t="shared" si="12"/>
        <v>350</v>
      </c>
      <c r="X34" s="386">
        <f t="shared" si="52"/>
        <v>350</v>
      </c>
      <c r="Z34" s="191">
        <f t="shared" si="13"/>
        <v>0.46073894667618365</v>
      </c>
      <c r="AA34" s="153">
        <f t="shared" si="14"/>
        <v>1.4134941575574826</v>
      </c>
      <c r="AB34" s="153">
        <f t="shared" si="15"/>
        <v>0.11396906662504547</v>
      </c>
      <c r="AC34" s="153"/>
      <c r="AD34" s="153">
        <f t="shared" si="16"/>
        <v>0.46018276762402083</v>
      </c>
      <c r="AE34" s="317">
        <f t="shared" si="17"/>
        <v>840.24586288416094</v>
      </c>
      <c r="AF34" s="463">
        <f t="shared" si="18"/>
        <v>1.2079797650130546E-2</v>
      </c>
      <c r="AH34" s="153">
        <f t="shared" si="19"/>
        <v>0.33060688416018102</v>
      </c>
      <c r="AI34" s="153">
        <f t="shared" si="20"/>
        <v>0.33060688416018102</v>
      </c>
      <c r="AJ34" s="153">
        <f t="shared" si="21"/>
        <v>1.3337828771556897</v>
      </c>
      <c r="AL34" s="317">
        <f t="shared" si="22"/>
        <v>28.999999999999996</v>
      </c>
      <c r="AM34" s="147">
        <f t="shared" si="23"/>
        <v>350</v>
      </c>
      <c r="AO34">
        <f t="shared" si="53"/>
        <v>28.999999999999996</v>
      </c>
      <c r="AP34" s="147">
        <f t="shared" si="24"/>
        <v>350</v>
      </c>
      <c r="AQ34" s="147"/>
      <c r="AR34" s="5">
        <f t="shared" si="54"/>
        <v>2.8571428571428572</v>
      </c>
      <c r="AS34" s="5">
        <f t="shared" si="25"/>
        <v>1.0359015703685672</v>
      </c>
      <c r="AT34" s="5">
        <f t="shared" si="55"/>
        <v>1.82124128677429</v>
      </c>
      <c r="AU34" s="153">
        <f t="shared" si="56"/>
        <v>0.36256554962899851</v>
      </c>
      <c r="AW34" s="5">
        <f t="shared" si="26"/>
        <v>0.96692791308641945</v>
      </c>
      <c r="AX34" s="5">
        <f t="shared" si="27"/>
        <v>1.3067795623585177</v>
      </c>
      <c r="AY34" s="5">
        <f t="shared" si="28"/>
        <v>0.96440494504700414</v>
      </c>
      <c r="AZ34" s="5">
        <f t="shared" si="29"/>
        <v>0.64786513366147647</v>
      </c>
      <c r="BA34" s="5">
        <f t="shared" si="30"/>
        <v>0.16170823869729248</v>
      </c>
      <c r="BB34" s="147">
        <f t="shared" si="31"/>
        <v>12.327895680074715</v>
      </c>
      <c r="BC34" s="5"/>
      <c r="BD34" s="153">
        <f t="shared" si="57"/>
        <v>0.11493294448116795</v>
      </c>
      <c r="BE34" s="153">
        <f t="shared" si="32"/>
        <v>0.15239440789474487</v>
      </c>
      <c r="BF34" s="153">
        <f t="shared" si="33"/>
        <v>0.15259361627107787</v>
      </c>
      <c r="BG34" s="153"/>
      <c r="BH34" s="463">
        <f t="shared" si="34"/>
        <v>4.6233536044889313E-3</v>
      </c>
      <c r="BI34" s="463">
        <f t="shared" si="35"/>
        <v>1.7542001273539207E-2</v>
      </c>
      <c r="BJ34" s="463">
        <f t="shared" si="36"/>
        <v>4.3749999999999995E-3</v>
      </c>
      <c r="BK34" s="463">
        <f t="shared" si="37"/>
        <v>1.6087792E-2</v>
      </c>
      <c r="BL34">
        <f t="shared" si="38"/>
        <v>4.3499999999999997E-3</v>
      </c>
      <c r="BM34">
        <f t="shared" si="39"/>
        <v>8.7499999999999992E-6</v>
      </c>
      <c r="BN34">
        <f t="shared" si="40"/>
        <v>4.7651696928591412E-2</v>
      </c>
      <c r="BO34" s="147">
        <f t="shared" si="58"/>
        <v>47.651696928591413</v>
      </c>
      <c r="BP34" s="153">
        <f t="shared" si="41"/>
        <v>2.8821178445998668E-2</v>
      </c>
      <c r="BQ34" s="153">
        <f t="shared" si="42"/>
        <v>2.8867596159187311E-2</v>
      </c>
      <c r="BR34" s="463"/>
      <c r="BT34" s="147">
        <f t="shared" si="59"/>
        <v>57.688774605185984</v>
      </c>
      <c r="BU34" s="463">
        <f t="shared" si="43"/>
        <v>1.3209581727111234E-2</v>
      </c>
      <c r="BV34" s="463">
        <f t="shared" si="60"/>
        <v>2.3224055557589877E-2</v>
      </c>
      <c r="BW34" s="463">
        <f t="shared" si="44"/>
        <v>1.1642405863342481E-3</v>
      </c>
      <c r="BX34" s="463">
        <f t="shared" si="45"/>
        <v>0</v>
      </c>
      <c r="BY34" s="463">
        <f t="shared" si="46"/>
        <v>4.2236663930129613E-2</v>
      </c>
      <c r="BZ34" s="463">
        <f t="shared" si="61"/>
        <v>3.7597877871035364E-2</v>
      </c>
      <c r="CA34" s="549">
        <f t="shared" si="47"/>
        <v>1.9127659574468089E-2</v>
      </c>
      <c r="CB34" s="147">
        <f t="shared" si="62"/>
        <v>61.364323504597699</v>
      </c>
      <c r="CC34" s="153">
        <f t="shared" si="63"/>
        <v>0.1667047950383751</v>
      </c>
      <c r="CD34" s="5">
        <f t="shared" si="64"/>
        <v>0.89899999999999991</v>
      </c>
      <c r="CE34" s="153">
        <f t="shared" si="65"/>
        <v>0.84357319605344172</v>
      </c>
      <c r="CF34" s="5">
        <f t="shared" si="66"/>
        <v>84.357319605344173</v>
      </c>
      <c r="CG34">
        <f t="shared" si="67"/>
        <v>28.999999999999996</v>
      </c>
      <c r="CI34" s="59">
        <f t="shared" si="48"/>
        <v>-50</v>
      </c>
      <c r="CJ34">
        <f t="shared" si="49"/>
        <v>-50</v>
      </c>
    </row>
    <row r="35" spans="5:88" x14ac:dyDescent="0.25">
      <c r="E35" s="150">
        <v>30</v>
      </c>
      <c r="F35" s="191">
        <f t="shared" si="68"/>
        <v>0.03</v>
      </c>
      <c r="G35" s="191">
        <f t="shared" si="50"/>
        <v>0.03</v>
      </c>
      <c r="H35" s="191">
        <f t="shared" si="0"/>
        <v>0.44999999999999996</v>
      </c>
      <c r="I35" s="191">
        <f t="shared" si="69"/>
        <v>0.48</v>
      </c>
      <c r="J35" s="472">
        <f t="shared" si="1"/>
        <v>15</v>
      </c>
      <c r="K35" s="386">
        <f t="shared" si="2"/>
        <v>15.32</v>
      </c>
      <c r="L35" s="386">
        <f t="shared" si="3"/>
        <v>30.32</v>
      </c>
      <c r="M35" s="386"/>
      <c r="N35" s="191">
        <f t="shared" si="4"/>
        <v>0.50527704485488123</v>
      </c>
      <c r="O35" s="152">
        <f t="shared" si="51"/>
        <v>1.237725019150566</v>
      </c>
      <c r="P35" s="152">
        <f t="shared" si="5"/>
        <v>2.7284960422163587</v>
      </c>
      <c r="Q35" s="191">
        <f t="shared" si="6"/>
        <v>8.25150012767044E-2</v>
      </c>
      <c r="R35" s="191">
        <f t="shared" si="7"/>
        <v>7.7357813696910374E-2</v>
      </c>
      <c r="S35" s="386">
        <f t="shared" si="8"/>
        <v>15</v>
      </c>
      <c r="T35" s="191">
        <f t="shared" si="9"/>
        <v>0.27267769074557585</v>
      </c>
      <c r="U35" s="191">
        <f t="shared" si="10"/>
        <v>0.85439009766947094</v>
      </c>
      <c r="V35" s="191">
        <f t="shared" si="11"/>
        <v>0.83654382931083959</v>
      </c>
      <c r="W35" s="175">
        <f t="shared" si="12"/>
        <v>350</v>
      </c>
      <c r="X35" s="386">
        <f t="shared" si="52"/>
        <v>350</v>
      </c>
      <c r="Z35" s="191">
        <f t="shared" si="13"/>
        <v>0.46073894667618365</v>
      </c>
      <c r="AA35" s="153">
        <f t="shared" si="14"/>
        <v>1.4134941575574826</v>
      </c>
      <c r="AB35" s="153">
        <f t="shared" si="15"/>
        <v>0.11396906662504547</v>
      </c>
      <c r="AC35" s="153"/>
      <c r="AD35" s="153">
        <f t="shared" si="16"/>
        <v>0.46018276762402083</v>
      </c>
      <c r="AE35" s="317">
        <f t="shared" si="17"/>
        <v>869.21985815602841</v>
      </c>
      <c r="AF35" s="463">
        <f t="shared" si="18"/>
        <v>1.2079797650130546E-2</v>
      </c>
      <c r="AH35" s="153">
        <f t="shared" si="19"/>
        <v>0.33625869329221758</v>
      </c>
      <c r="AI35" s="153">
        <f t="shared" si="20"/>
        <v>0.33625869329221758</v>
      </c>
      <c r="AJ35" s="153">
        <f t="shared" si="21"/>
        <v>1.3379694024386797</v>
      </c>
      <c r="AL35" s="317">
        <f t="shared" si="22"/>
        <v>30</v>
      </c>
      <c r="AM35" s="147">
        <f t="shared" si="23"/>
        <v>350</v>
      </c>
      <c r="AO35">
        <f t="shared" si="53"/>
        <v>30</v>
      </c>
      <c r="AP35" s="147">
        <f t="shared" si="24"/>
        <v>350</v>
      </c>
      <c r="AQ35" s="147"/>
      <c r="AR35" s="5">
        <f t="shared" si="54"/>
        <v>2.8571428571428572</v>
      </c>
      <c r="AS35" s="5">
        <f t="shared" si="25"/>
        <v>1.0536105723156151</v>
      </c>
      <c r="AT35" s="5">
        <f t="shared" si="55"/>
        <v>1.8035322848272421</v>
      </c>
      <c r="AU35" s="153">
        <f t="shared" si="56"/>
        <v>0.36876370031046524</v>
      </c>
      <c r="AW35" s="5">
        <f t="shared" si="26"/>
        <v>0.96692791308641945</v>
      </c>
      <c r="AX35" s="5">
        <f t="shared" si="27"/>
        <v>1.3953526826666662</v>
      </c>
      <c r="AY35" s="5">
        <f t="shared" si="28"/>
        <v>0.96440494504700414</v>
      </c>
      <c r="AZ35" s="5">
        <f t="shared" si="29"/>
        <v>0.69124687312167521</v>
      </c>
      <c r="BA35" s="5">
        <f t="shared" si="30"/>
        <v>0.16565778023598368</v>
      </c>
      <c r="BB35" s="147">
        <f t="shared" si="31"/>
        <v>12.631000184365442</v>
      </c>
      <c r="BC35" s="5"/>
      <c r="BD35" s="153">
        <f t="shared" si="57"/>
        <v>0.11789271672193462</v>
      </c>
      <c r="BE35" s="153">
        <f t="shared" si="32"/>
        <v>0.15424421204306141</v>
      </c>
      <c r="BF35" s="153">
        <f t="shared" si="33"/>
        <v>0.15444583846403276</v>
      </c>
      <c r="BG35" s="153"/>
      <c r="BH35" s="463">
        <f t="shared" si="34"/>
        <v>4.864542429627413E-3</v>
      </c>
      <c r="BI35" s="463">
        <f t="shared" si="35"/>
        <v>1.7841886266085065E-2</v>
      </c>
      <c r="BJ35" s="463">
        <f t="shared" si="36"/>
        <v>4.3749999999999995E-3</v>
      </c>
      <c r="BK35" s="463">
        <f t="shared" si="37"/>
        <v>1.6087792E-2</v>
      </c>
      <c r="BL35">
        <f t="shared" si="38"/>
        <v>4.3499999999999997E-3</v>
      </c>
      <c r="BM35">
        <f t="shared" si="39"/>
        <v>8.7499999999999992E-6</v>
      </c>
      <c r="BN35">
        <f t="shared" si="40"/>
        <v>4.8227968915412138E-2</v>
      </c>
      <c r="BO35" s="147">
        <f t="shared" si="58"/>
        <v>48.227968915412141</v>
      </c>
      <c r="BP35" s="153">
        <f t="shared" si="41"/>
        <v>2.9636535588871658E-2</v>
      </c>
      <c r="BQ35" s="153">
        <f t="shared" si="42"/>
        <v>2.9684087002407589E-2</v>
      </c>
      <c r="BR35" s="463"/>
      <c r="BT35" s="147">
        <f t="shared" si="59"/>
        <v>59.320622591279253</v>
      </c>
      <c r="BU35" s="463">
        <f t="shared" si="43"/>
        <v>1.3898692656078323E-2</v>
      </c>
      <c r="BV35" s="463">
        <f t="shared" si="60"/>
        <v>2.3791276948784891E-2</v>
      </c>
      <c r="BW35" s="463">
        <f t="shared" si="44"/>
        <v>1.1926758509429051E-3</v>
      </c>
      <c r="BX35" s="463">
        <f t="shared" si="45"/>
        <v>0</v>
      </c>
      <c r="BY35" s="463">
        <f t="shared" si="46"/>
        <v>4.3684448263604153E-2</v>
      </c>
      <c r="BZ35" s="463">
        <f t="shared" si="61"/>
        <v>3.8882645455806115E-2</v>
      </c>
      <c r="CA35" s="549">
        <f t="shared" si="47"/>
        <v>1.9787234042553191E-2</v>
      </c>
      <c r="CB35" s="147">
        <f t="shared" si="62"/>
        <v>63.471682306157348</v>
      </c>
      <c r="CC35" s="153">
        <f t="shared" si="63"/>
        <v>0.17102027381284873</v>
      </c>
      <c r="CD35" s="5">
        <f t="shared" si="64"/>
        <v>0.92999999999999994</v>
      </c>
      <c r="CE35" s="153">
        <f t="shared" si="65"/>
        <v>0.84467109472870727</v>
      </c>
      <c r="CF35" s="5">
        <f t="shared" si="66"/>
        <v>84.467109472870732</v>
      </c>
      <c r="CG35">
        <f t="shared" si="67"/>
        <v>30</v>
      </c>
      <c r="CI35" s="59">
        <f t="shared" si="48"/>
        <v>-50</v>
      </c>
      <c r="CJ35">
        <f t="shared" si="49"/>
        <v>-50</v>
      </c>
    </row>
    <row r="36" spans="5:88" x14ac:dyDescent="0.25">
      <c r="E36" s="150">
        <v>31</v>
      </c>
      <c r="F36" s="191">
        <f t="shared" si="68"/>
        <v>3.1E-2</v>
      </c>
      <c r="G36" s="191">
        <f t="shared" si="50"/>
        <v>3.1E-2</v>
      </c>
      <c r="H36" s="191">
        <f t="shared" si="0"/>
        <v>0.46499999999999997</v>
      </c>
      <c r="I36" s="191">
        <f t="shared" si="69"/>
        <v>0.496</v>
      </c>
      <c r="J36" s="472">
        <f t="shared" si="1"/>
        <v>15</v>
      </c>
      <c r="K36" s="386">
        <f t="shared" si="2"/>
        <v>15.32</v>
      </c>
      <c r="L36" s="386">
        <f t="shared" si="3"/>
        <v>30.32</v>
      </c>
      <c r="M36" s="386"/>
      <c r="N36" s="191">
        <f t="shared" si="4"/>
        <v>0.50527704485488123</v>
      </c>
      <c r="O36" s="152">
        <f t="shared" si="51"/>
        <v>1.237725019150566</v>
      </c>
      <c r="P36" s="152">
        <f t="shared" si="5"/>
        <v>2.7284960422163587</v>
      </c>
      <c r="Q36" s="191">
        <f t="shared" si="6"/>
        <v>8.25150012767044E-2</v>
      </c>
      <c r="R36" s="191">
        <f t="shared" si="7"/>
        <v>7.7357813696910374E-2</v>
      </c>
      <c r="S36" s="386">
        <f t="shared" si="8"/>
        <v>15</v>
      </c>
      <c r="T36" s="191">
        <f t="shared" si="9"/>
        <v>0.28176694710376177</v>
      </c>
      <c r="U36" s="191">
        <f t="shared" si="10"/>
        <v>0.88286976759178681</v>
      </c>
      <c r="V36" s="191">
        <f t="shared" si="11"/>
        <v>0.8644286236212011</v>
      </c>
      <c r="W36" s="175">
        <f t="shared" si="12"/>
        <v>350</v>
      </c>
      <c r="X36" s="386">
        <f t="shared" si="52"/>
        <v>350</v>
      </c>
      <c r="Z36" s="191">
        <f t="shared" si="13"/>
        <v>0.46073894667618365</v>
      </c>
      <c r="AA36" s="153">
        <f t="shared" si="14"/>
        <v>1.4134941575574826</v>
      </c>
      <c r="AB36" s="153">
        <f t="shared" si="15"/>
        <v>0.11396906662504547</v>
      </c>
      <c r="AC36" s="153"/>
      <c r="AD36" s="153">
        <f t="shared" si="16"/>
        <v>0.46018276762402083</v>
      </c>
      <c r="AE36" s="317">
        <f t="shared" si="17"/>
        <v>898.19385342789622</v>
      </c>
      <c r="AF36" s="463">
        <f t="shared" si="18"/>
        <v>1.2079797650130546E-2</v>
      </c>
      <c r="AH36" s="153">
        <f t="shared" si="19"/>
        <v>0.34181706478038215</v>
      </c>
      <c r="AI36" s="153">
        <f t="shared" si="20"/>
        <v>0.34181706478038215</v>
      </c>
      <c r="AJ36" s="153">
        <f t="shared" si="21"/>
        <v>1.3420867146521349</v>
      </c>
      <c r="AL36" s="317">
        <f t="shared" si="22"/>
        <v>31</v>
      </c>
      <c r="AM36" s="147">
        <f t="shared" si="23"/>
        <v>350</v>
      </c>
      <c r="AO36">
        <f t="shared" si="53"/>
        <v>31</v>
      </c>
      <c r="AP36" s="147">
        <f t="shared" si="24"/>
        <v>350</v>
      </c>
      <c r="AQ36" s="147"/>
      <c r="AR36" s="5">
        <f t="shared" si="54"/>
        <v>2.8571428571428572</v>
      </c>
      <c r="AS36" s="5">
        <f t="shared" si="25"/>
        <v>1.0710268029785308</v>
      </c>
      <c r="AT36" s="5">
        <f t="shared" si="55"/>
        <v>1.7861160541643264</v>
      </c>
      <c r="AU36" s="153">
        <f t="shared" si="56"/>
        <v>0.37485938104248578</v>
      </c>
      <c r="AW36" s="5">
        <f t="shared" si="26"/>
        <v>0.96692791308641945</v>
      </c>
      <c r="AX36" s="5">
        <f t="shared" si="27"/>
        <v>1.4868265867140733</v>
      </c>
      <c r="AY36" s="5">
        <f t="shared" si="28"/>
        <v>0.96440494504700414</v>
      </c>
      <c r="AZ36" s="5">
        <f t="shared" si="29"/>
        <v>0.73603138341103325</v>
      </c>
      <c r="BA36" s="5">
        <f t="shared" si="30"/>
        <v>0.16952666943722641</v>
      </c>
      <c r="BB36" s="147">
        <f t="shared" si="31"/>
        <v>12.928055763347533</v>
      </c>
      <c r="BC36" s="5"/>
      <c r="BD36" s="153">
        <f t="shared" si="57"/>
        <v>0.12082792158068749</v>
      </c>
      <c r="BE36" s="153">
        <f t="shared" si="32"/>
        <v>0.1560349809866895</v>
      </c>
      <c r="BF36" s="153">
        <f t="shared" si="33"/>
        <v>0.15623894828209695</v>
      </c>
      <c r="BG36" s="153"/>
      <c r="BH36" s="463">
        <f t="shared" si="34"/>
        <v>5.1097853217280673E-3</v>
      </c>
      <c r="BI36" s="463">
        <f t="shared" si="35"/>
        <v>1.8136813457247079E-2</v>
      </c>
      <c r="BJ36" s="463">
        <f t="shared" si="36"/>
        <v>4.3749999999999995E-3</v>
      </c>
      <c r="BK36" s="463">
        <f t="shared" si="37"/>
        <v>1.6087792E-2</v>
      </c>
      <c r="BL36">
        <f t="shared" si="38"/>
        <v>4.3499999999999997E-3</v>
      </c>
      <c r="BM36">
        <f t="shared" si="39"/>
        <v>8.7499999999999992E-6</v>
      </c>
      <c r="BN36">
        <f t="shared" si="40"/>
        <v>4.8803972005160436E-2</v>
      </c>
      <c r="BO36" s="147">
        <f t="shared" si="58"/>
        <v>48.803972005160439</v>
      </c>
      <c r="BP36" s="153">
        <f t="shared" si="41"/>
        <v>3.044304328271865E-2</v>
      </c>
      <c r="BQ36" s="153">
        <f t="shared" si="42"/>
        <v>3.0491705245665961E-2</v>
      </c>
      <c r="BR36" s="463"/>
      <c r="BT36" s="147">
        <f t="shared" si="59"/>
        <v>60.93474852838461</v>
      </c>
      <c r="BU36" s="463">
        <f t="shared" si="43"/>
        <v>1.4599386633508765E-2</v>
      </c>
      <c r="BV36" s="463">
        <f t="shared" si="60"/>
        <v>2.4346915291516554E-2</v>
      </c>
      <c r="BW36" s="463">
        <f t="shared" si="44"/>
        <v>1.2205304480147883E-3</v>
      </c>
      <c r="BX36" s="463">
        <f t="shared" si="45"/>
        <v>0</v>
      </c>
      <c r="BY36" s="463">
        <f t="shared" si="46"/>
        <v>4.5131876619633852E-2</v>
      </c>
      <c r="BZ36" s="463">
        <f t="shared" si="61"/>
        <v>4.0166832373040112E-2</v>
      </c>
      <c r="CA36" s="549">
        <f t="shared" si="47"/>
        <v>2.0446808510638299E-2</v>
      </c>
      <c r="CB36" s="147">
        <f t="shared" si="62"/>
        <v>65.578685130272149</v>
      </c>
      <c r="CC36" s="153">
        <f t="shared" si="63"/>
        <v>0.17531740566381721</v>
      </c>
      <c r="CD36" s="5">
        <f t="shared" si="64"/>
        <v>0.96099999999999997</v>
      </c>
      <c r="CE36" s="153">
        <f t="shared" si="65"/>
        <v>0.84571440621258476</v>
      </c>
      <c r="CF36" s="5">
        <f t="shared" si="66"/>
        <v>84.571440621258475</v>
      </c>
      <c r="CG36">
        <f t="shared" si="67"/>
        <v>31</v>
      </c>
      <c r="CI36" s="59">
        <f t="shared" si="48"/>
        <v>-50</v>
      </c>
      <c r="CJ36">
        <f t="shared" si="49"/>
        <v>-50</v>
      </c>
    </row>
    <row r="37" spans="5:88" x14ac:dyDescent="0.25">
      <c r="E37" s="150">
        <v>32</v>
      </c>
      <c r="F37" s="191">
        <f t="shared" si="68"/>
        <v>3.2000000000000001E-2</v>
      </c>
      <c r="G37" s="191">
        <f t="shared" si="50"/>
        <v>3.2000000000000001E-2</v>
      </c>
      <c r="H37" s="191">
        <f t="shared" ref="H37:H68" si="70">F37*Vout</f>
        <v>0.48</v>
      </c>
      <c r="I37" s="191">
        <f t="shared" si="69"/>
        <v>0.51200000000000001</v>
      </c>
      <c r="J37" s="472">
        <f t="shared" si="1"/>
        <v>15</v>
      </c>
      <c r="K37" s="386">
        <f t="shared" si="2"/>
        <v>15.32</v>
      </c>
      <c r="L37" s="386">
        <f t="shared" si="3"/>
        <v>30.32</v>
      </c>
      <c r="M37" s="386"/>
      <c r="N37" s="191">
        <f t="shared" si="4"/>
        <v>0.50527704485488123</v>
      </c>
      <c r="O37" s="152">
        <f t="shared" si="51"/>
        <v>1.237725019150566</v>
      </c>
      <c r="P37" s="152">
        <f t="shared" ref="P37:P68" si="71">N37*J37*Isw_max*0.5*Efficiency*(Pout2/Pout_total)</f>
        <v>2.7284960422163587</v>
      </c>
      <c r="Q37" s="191">
        <f t="shared" si="6"/>
        <v>8.25150012767044E-2</v>
      </c>
      <c r="R37" s="191">
        <f t="shared" ref="R37:R68" si="72">O37/Vout2</f>
        <v>7.7357813696910374E-2</v>
      </c>
      <c r="S37" s="386">
        <f t="shared" ref="S37:S68" si="73">MIN(Vout,O37/F37)</f>
        <v>15</v>
      </c>
      <c r="T37" s="191">
        <f t="shared" ref="T37:T68" si="74">MIN(2*(Vout*F37+Vout2*G37)/(Efficiency*J37*N37), Isw_max)</f>
        <v>0.29085620346194763</v>
      </c>
      <c r="U37" s="191">
        <f t="shared" si="10"/>
        <v>0.91134943751410258</v>
      </c>
      <c r="V37" s="191">
        <f t="shared" si="11"/>
        <v>0.89231341793156249</v>
      </c>
      <c r="W37" s="175">
        <f t="shared" si="12"/>
        <v>350</v>
      </c>
      <c r="X37" s="386">
        <f t="shared" si="52"/>
        <v>350</v>
      </c>
      <c r="Z37" s="191">
        <f t="shared" si="13"/>
        <v>0.46073894667618365</v>
      </c>
      <c r="AA37" s="153">
        <f t="shared" si="14"/>
        <v>1.4134941575574826</v>
      </c>
      <c r="AB37" s="153">
        <f t="shared" ref="AB37:AB68" si="75">0.5*AA37*Z37*Nps*W37/1000*(Pout/Pout_total)</f>
        <v>0.11396906662504547</v>
      </c>
      <c r="AC37" s="153"/>
      <c r="AD37" s="153">
        <f t="shared" si="16"/>
        <v>0.46018276762402083</v>
      </c>
      <c r="AE37" s="317">
        <f t="shared" ref="AE37:AE68" si="76">MAX(10, F37/(0.5*AD37/1000000*Isw_min*Nps)/1000*Pout_total/Pout)</f>
        <v>927.16784869976391</v>
      </c>
      <c r="AF37" s="463">
        <f t="shared" ref="AF37:AF68" si="77">0.5*AD37/1000000*Isw_min*Nps*W37*1000*(Pout/Pout_total)</f>
        <v>1.2079797650130546E-2</v>
      </c>
      <c r="AH37" s="153">
        <f t="shared" ref="AH37:AH68" si="78">SQRT((H37+I37)/(0.5*L*Fsw_DCM))</f>
        <v>0.34728648510352705</v>
      </c>
      <c r="AI37" s="153">
        <f t="shared" ref="AI37:AI68" si="79">MAX(IF(F37&gt;AB37,T37,AH37),Isw_min)</f>
        <v>0.34728648510352705</v>
      </c>
      <c r="AJ37" s="153">
        <f t="shared" ref="AJ37:AJ68" si="80">IF(F37&gt;AF37, (AI37-Isw_min)/1.08*0.8+1.2, AE37*0.2/350+1)</f>
        <v>1.3461381371137238</v>
      </c>
      <c r="AL37" s="317">
        <f t="shared" ref="AL37:AL68" si="81">F37*1000</f>
        <v>32</v>
      </c>
      <c r="AM37" s="147">
        <f t="shared" ref="AM37:AM68" si="82">IF(F37&gt;AF37, X37, AE37)</f>
        <v>350</v>
      </c>
      <c r="AO37">
        <f t="shared" si="53"/>
        <v>32</v>
      </c>
      <c r="AP37" s="147">
        <f t="shared" si="24"/>
        <v>350</v>
      </c>
      <c r="AQ37" s="147"/>
      <c r="AR37" s="5">
        <f t="shared" si="54"/>
        <v>2.8571428571428572</v>
      </c>
      <c r="AS37" s="5">
        <f t="shared" si="25"/>
        <v>1.0881643199910516</v>
      </c>
      <c r="AT37" s="5">
        <f t="shared" si="55"/>
        <v>1.7689785371518056</v>
      </c>
      <c r="AU37" s="153">
        <f t="shared" si="56"/>
        <v>0.38085751199686801</v>
      </c>
      <c r="AW37" s="5">
        <f t="shared" ref="AW37:AW68" si="83">L*Iout^2/(2*Vripple1_spec*Vout*Npri_sec1^2)*1000000000*((1+N37)/(1-N37))^2</f>
        <v>0.96692791308641945</v>
      </c>
      <c r="AX37" s="5">
        <f t="shared" ref="AX37:AX68" si="84">L*F37^2/(2*Cout*Vout*Nps^2)*1000000000*((1+N37)/(1-N37))^2+F37*RCoutEsr</f>
        <v>1.58120127450074</v>
      </c>
      <c r="AY37" s="5">
        <f t="shared" ref="AY37:AY68" si="85">L*Iout2^2/(2*Vripple2_spec*Vout2*Npri_sec2^2)*1000000000*((1+N37)/(1-N37))^2</f>
        <v>0.96440494504700414</v>
      </c>
      <c r="AZ37" s="5">
        <f t="shared" ref="AZ37:AZ68" si="86">L*G37^2/(2*Cout2*Vout2*Npri_sec2^2)*1000000000*((1+N37)/(1-N37))^2+G37*CoutEsr2</f>
        <v>0.78221866452955036</v>
      </c>
      <c r="BA37" s="5">
        <f t="shared" ref="BA37:BA68" si="87">(H37+I37)/Efficiency/J37*AT37/Vinripple1</f>
        <v>0.17331621815847817</v>
      </c>
      <c r="BB37" s="147">
        <f t="shared" ref="BB37:BB68" si="88">((CD37/J37/Efficiency)*AT37/Cin+(CD37/J37/Efficiency)*RCinEsr)*1000</f>
        <v>13.219160806330306</v>
      </c>
      <c r="BC37" s="5"/>
      <c r="BD37" s="153">
        <f t="shared" si="57"/>
        <v>0.12373954604063396</v>
      </c>
      <c r="BE37" s="153">
        <f t="shared" ref="BE37:BE68" si="89">AI37*Npri_sec1*SQRT((1-AU37)/3)*(Pout/Pout_total)</f>
        <v>0.15776932208400107</v>
      </c>
      <c r="BF37" s="153">
        <f t="shared" ref="BF37:BF68" si="90">AI37*Npri_sec2*SQRT((1-AU37)/3)*(Pout2/Pout_total)</f>
        <v>0.15797555649195399</v>
      </c>
      <c r="BG37" s="153"/>
      <c r="BH37" s="463">
        <f t="shared" si="34"/>
        <v>5.3590163390197596E-3</v>
      </c>
      <c r="BI37" s="463">
        <f t="shared" si="35"/>
        <v>1.8427020899593145E-2</v>
      </c>
      <c r="BJ37" s="463">
        <f t="shared" si="36"/>
        <v>4.3749999999999995E-3</v>
      </c>
      <c r="BK37" s="463">
        <f t="shared" si="37"/>
        <v>1.6087792E-2</v>
      </c>
      <c r="BL37">
        <f t="shared" si="38"/>
        <v>4.3499999999999997E-3</v>
      </c>
      <c r="BM37">
        <f t="shared" ref="BM37:BM68" si="91">(J37-Vdd)*Qg*AM37</f>
        <v>8.7499999999999992E-6</v>
      </c>
      <c r="BN37">
        <f t="shared" ref="BN37:BN68" si="92">(BI37+BJ37+BK37+BL37+BM37+BH37*(1+RdsonTC*(Ta-25)))/(1-BH37*RdsonTC*ThetaJA)</f>
        <v>4.93798702239144E-2</v>
      </c>
      <c r="BO37" s="147">
        <f t="shared" si="58"/>
        <v>49.379870223914402</v>
      </c>
      <c r="BP37" s="153">
        <f t="shared" ref="BP37:BP68" si="93">(Vfwd2*F37+BE37^2*Rdiode)*(1+Diode_TC/1000*(Ta-25))</f>
        <v>3.1240845469005785E-2</v>
      </c>
      <c r="BQ37" s="153">
        <f t="shared" ref="BQ37:BQ68" si="94">(Vfwd2*G37+BF37^2*Rdiode)*(1+Diode_TC/1000*(Ta-25))</f>
        <v>3.1290595206992108E-2</v>
      </c>
      <c r="BR37" s="463"/>
      <c r="BT37" s="147">
        <f t="shared" si="59"/>
        <v>62.531440675997892</v>
      </c>
      <c r="BU37" s="463">
        <f t="shared" si="43"/>
        <v>1.5311475254342172E-2</v>
      </c>
      <c r="BV37" s="463">
        <f t="shared" si="60"/>
        <v>2.489115899084527E-2</v>
      </c>
      <c r="BW37" s="463">
        <f t="shared" ref="BW37:BW68" si="95">Rdcr_sec2*BF37^2</f>
        <v>1.2478138224471275E-3</v>
      </c>
      <c r="BX37" s="463">
        <f t="shared" si="45"/>
        <v>0</v>
      </c>
      <c r="BY37" s="463">
        <f t="shared" ref="BY37:BY68" si="96">(BX37+(BU37+BV37+BW37)*(1+Ltc*(Ta-25)))/(1-(BU37+BV37+BW37)*Ltc*ThetaCa)</f>
        <v>4.6578959334546005E-2</v>
      </c>
      <c r="BZ37" s="463">
        <f t="shared" si="61"/>
        <v>4.1450448067634565E-2</v>
      </c>
      <c r="CA37" s="549">
        <f t="shared" ref="CA37:CA68" si="97">0.5*Lleak*0.000000001*AI37^2*AM37*1000</f>
        <v>2.1106382978723408E-2</v>
      </c>
      <c r="CB37" s="147">
        <f t="shared" si="62"/>
        <v>67.685342313269416</v>
      </c>
      <c r="CC37" s="153">
        <f t="shared" si="63"/>
        <v>0.17959665321318172</v>
      </c>
      <c r="CD37" s="5">
        <f t="shared" si="64"/>
        <v>0.99199999999999999</v>
      </c>
      <c r="CE37" s="153">
        <f t="shared" si="65"/>
        <v>0.84670777889248328</v>
      </c>
      <c r="CF37" s="5">
        <f t="shared" si="66"/>
        <v>84.670777889248328</v>
      </c>
      <c r="CG37">
        <f t="shared" si="67"/>
        <v>32</v>
      </c>
      <c r="CI37" s="59">
        <f t="shared" ref="CI37:CI68" si="98">IF(ABS(F37-Ioutmax_Vinnom)&lt;Iout/200, AM37, -50)</f>
        <v>-50</v>
      </c>
      <c r="CJ37">
        <f t="shared" ref="CJ37:CJ68" si="99">IF(ABS(F37-Ioutmax_Vinnom)&lt;Iout/200, (O37+P37)*CE37, -50)</f>
        <v>-50</v>
      </c>
    </row>
    <row r="38" spans="5:88" x14ac:dyDescent="0.25">
      <c r="E38" s="150">
        <v>33</v>
      </c>
      <c r="F38" s="191">
        <f t="shared" si="68"/>
        <v>3.3000000000000002E-2</v>
      </c>
      <c r="G38" s="191">
        <f t="shared" ref="G38:G69" si="100">IF(PLOT_TYPE=1, E38/100*Iout2, min_I*EXP(Q38*rr/100))</f>
        <v>3.3000000000000002E-2</v>
      </c>
      <c r="H38" s="191">
        <f t="shared" si="70"/>
        <v>0.495</v>
      </c>
      <c r="I38" s="191">
        <f t="shared" si="69"/>
        <v>0.52800000000000002</v>
      </c>
      <c r="J38" s="472">
        <f t="shared" si="1"/>
        <v>15</v>
      </c>
      <c r="K38" s="386">
        <f t="shared" si="2"/>
        <v>15.32</v>
      </c>
      <c r="L38" s="386">
        <f t="shared" si="3"/>
        <v>30.32</v>
      </c>
      <c r="M38" s="386"/>
      <c r="N38" s="191">
        <f t="shared" si="4"/>
        <v>0.50527704485488123</v>
      </c>
      <c r="O38" s="152">
        <f t="shared" ref="O38:O69" si="101">N38*J38*Isw_max*0.5*Efficiency*Pout/(Pout+Pout2)</f>
        <v>1.237725019150566</v>
      </c>
      <c r="P38" s="152">
        <f t="shared" si="71"/>
        <v>2.7284960422163587</v>
      </c>
      <c r="Q38" s="191">
        <f t="shared" si="6"/>
        <v>8.25150012767044E-2</v>
      </c>
      <c r="R38" s="191">
        <f t="shared" si="72"/>
        <v>7.7357813696910374E-2</v>
      </c>
      <c r="S38" s="386">
        <f t="shared" si="73"/>
        <v>15</v>
      </c>
      <c r="T38" s="191">
        <f t="shared" si="74"/>
        <v>0.29994545982013354</v>
      </c>
      <c r="U38" s="191">
        <f t="shared" si="10"/>
        <v>0.93982910743641834</v>
      </c>
      <c r="V38" s="191">
        <f t="shared" si="11"/>
        <v>0.92019821224192389</v>
      </c>
      <c r="W38" s="175">
        <f t="shared" si="12"/>
        <v>350</v>
      </c>
      <c r="X38" s="386">
        <f t="shared" si="52"/>
        <v>350</v>
      </c>
      <c r="Z38" s="191">
        <f t="shared" si="13"/>
        <v>0.46073894667618365</v>
      </c>
      <c r="AA38" s="153">
        <f t="shared" si="14"/>
        <v>1.4134941575574826</v>
      </c>
      <c r="AB38" s="153">
        <f t="shared" si="75"/>
        <v>0.11396906662504547</v>
      </c>
      <c r="AC38" s="153"/>
      <c r="AD38" s="153">
        <f t="shared" si="16"/>
        <v>0.46018276762402083</v>
      </c>
      <c r="AE38" s="317">
        <f t="shared" si="76"/>
        <v>956.14184397163137</v>
      </c>
      <c r="AF38" s="463">
        <f t="shared" si="77"/>
        <v>1.2079797650130546E-2</v>
      </c>
      <c r="AH38" s="153">
        <f t="shared" si="78"/>
        <v>0.35267109279901104</v>
      </c>
      <c r="AI38" s="153">
        <f t="shared" si="79"/>
        <v>0.35267109279901104</v>
      </c>
      <c r="AJ38" s="153">
        <f t="shared" si="80"/>
        <v>1.3501267354066748</v>
      </c>
      <c r="AL38" s="317">
        <f t="shared" si="81"/>
        <v>33</v>
      </c>
      <c r="AM38" s="147">
        <f t="shared" si="82"/>
        <v>350</v>
      </c>
      <c r="AO38">
        <f t="shared" si="53"/>
        <v>33</v>
      </c>
      <c r="AP38" s="147">
        <f t="shared" si="24"/>
        <v>350</v>
      </c>
      <c r="AQ38" s="147"/>
      <c r="AR38" s="5">
        <f t="shared" si="54"/>
        <v>2.8571428571428572</v>
      </c>
      <c r="AS38" s="5">
        <f t="shared" si="25"/>
        <v>1.1050360907702346</v>
      </c>
      <c r="AT38" s="5">
        <f t="shared" si="55"/>
        <v>1.7521067663726226</v>
      </c>
      <c r="AU38" s="153">
        <f t="shared" si="56"/>
        <v>0.38676263176958209</v>
      </c>
      <c r="AW38" s="5">
        <f t="shared" si="83"/>
        <v>0.96692791308641945</v>
      </c>
      <c r="AX38" s="5">
        <f t="shared" si="84"/>
        <v>1.6784767460266661</v>
      </c>
      <c r="AY38" s="5">
        <f t="shared" si="85"/>
        <v>0.96440494504700414</v>
      </c>
      <c r="AZ38" s="5">
        <f t="shared" si="86"/>
        <v>0.8298087164772272</v>
      </c>
      <c r="BA38" s="5">
        <f t="shared" si="87"/>
        <v>0.17702767624683388</v>
      </c>
      <c r="BB38" s="147">
        <f t="shared" si="88"/>
        <v>13.504409051845876</v>
      </c>
      <c r="BC38" s="5"/>
      <c r="BD38" s="153">
        <f t="shared" si="57"/>
        <v>0.12662850792480226</v>
      </c>
      <c r="BE38" s="153">
        <f t="shared" si="89"/>
        <v>0.15944963952950114</v>
      </c>
      <c r="BF38" s="153">
        <f t="shared" si="90"/>
        <v>0.1596580704308469</v>
      </c>
      <c r="BG38" s="153"/>
      <c r="BH38" s="463">
        <f t="shared" si="34"/>
        <v>5.6121726567415981E-3</v>
      </c>
      <c r="BI38" s="463">
        <f t="shared" si="35"/>
        <v>1.8712728183915527E-2</v>
      </c>
      <c r="BJ38" s="463">
        <f t="shared" si="36"/>
        <v>4.3749999999999995E-3</v>
      </c>
      <c r="BK38" s="463">
        <f t="shared" si="37"/>
        <v>1.6087792E-2</v>
      </c>
      <c r="BL38">
        <f t="shared" si="38"/>
        <v>4.3499999999999997E-3</v>
      </c>
      <c r="BM38">
        <f t="shared" si="91"/>
        <v>8.7499999999999992E-6</v>
      </c>
      <c r="BN38">
        <f t="shared" si="92"/>
        <v>4.9955812688507142E-2</v>
      </c>
      <c r="BO38" s="147">
        <f t="shared" si="58"/>
        <v>49.955812688507145</v>
      </c>
      <c r="BP38" s="153">
        <f t="shared" si="93"/>
        <v>3.2030079285211122E-2</v>
      </c>
      <c r="BQ38" s="153">
        <f t="shared" si="94"/>
        <v>3.2080894382627768E-2</v>
      </c>
      <c r="BR38" s="463"/>
      <c r="BT38" s="147">
        <f t="shared" si="59"/>
        <v>64.110973667838877</v>
      </c>
      <c r="BU38" s="463">
        <f t="shared" si="43"/>
        <v>1.6034779019261709E-2</v>
      </c>
      <c r="BV38" s="463">
        <f t="shared" si="60"/>
        <v>2.5424187546087853E-2</v>
      </c>
      <c r="BW38" s="463">
        <f t="shared" si="95"/>
        <v>1.2745349726850635E-3</v>
      </c>
      <c r="BX38" s="463">
        <f t="shared" si="45"/>
        <v>0</v>
      </c>
      <c r="BY38" s="463">
        <f t="shared" si="96"/>
        <v>4.8025706249950582E-2</v>
      </c>
      <c r="BZ38" s="463">
        <f t="shared" si="61"/>
        <v>4.2733501538034624E-2</v>
      </c>
      <c r="CA38" s="549">
        <f t="shared" si="97"/>
        <v>2.176595744680852E-2</v>
      </c>
      <c r="CB38" s="147">
        <f t="shared" si="62"/>
        <v>69.791663696759102</v>
      </c>
      <c r="CC38" s="153">
        <f t="shared" si="63"/>
        <v>0.18385845005310514</v>
      </c>
      <c r="CD38" s="5">
        <f t="shared" si="64"/>
        <v>1.0230000000000001</v>
      </c>
      <c r="CE38" s="153">
        <f t="shared" si="65"/>
        <v>0.84765533187010056</v>
      </c>
      <c r="CF38" s="5">
        <f t="shared" si="66"/>
        <v>84.76553318701005</v>
      </c>
      <c r="CG38">
        <f t="shared" ref="CG38:CG69" si="102">F38/Iout*100</f>
        <v>33</v>
      </c>
      <c r="CI38" s="59">
        <f t="shared" si="98"/>
        <v>-50</v>
      </c>
      <c r="CJ38">
        <f t="shared" si="99"/>
        <v>-50</v>
      </c>
    </row>
    <row r="39" spans="5:88" x14ac:dyDescent="0.25">
      <c r="E39" s="150">
        <v>34</v>
      </c>
      <c r="F39" s="191">
        <f t="shared" si="68"/>
        <v>3.4000000000000002E-2</v>
      </c>
      <c r="G39" s="191">
        <f t="shared" si="100"/>
        <v>3.4000000000000002E-2</v>
      </c>
      <c r="H39" s="191">
        <f t="shared" si="70"/>
        <v>0.51</v>
      </c>
      <c r="I39" s="191">
        <f t="shared" si="69"/>
        <v>0.54400000000000004</v>
      </c>
      <c r="J39" s="472">
        <f t="shared" si="1"/>
        <v>15</v>
      </c>
      <c r="K39" s="386">
        <f t="shared" si="2"/>
        <v>15.32</v>
      </c>
      <c r="L39" s="386">
        <f t="shared" si="3"/>
        <v>30.32</v>
      </c>
      <c r="M39" s="386"/>
      <c r="N39" s="191">
        <f t="shared" si="4"/>
        <v>0.50527704485488123</v>
      </c>
      <c r="O39" s="152">
        <f t="shared" si="101"/>
        <v>1.237725019150566</v>
      </c>
      <c r="P39" s="152">
        <f t="shared" si="71"/>
        <v>2.7284960422163587</v>
      </c>
      <c r="Q39" s="191">
        <f t="shared" si="6"/>
        <v>8.25150012767044E-2</v>
      </c>
      <c r="R39" s="191">
        <f t="shared" si="72"/>
        <v>7.7357813696910374E-2</v>
      </c>
      <c r="S39" s="386">
        <f t="shared" si="73"/>
        <v>15</v>
      </c>
      <c r="T39" s="191">
        <f t="shared" si="74"/>
        <v>0.30903471617831935</v>
      </c>
      <c r="U39" s="191">
        <f t="shared" si="10"/>
        <v>0.968308777358734</v>
      </c>
      <c r="V39" s="191">
        <f t="shared" si="11"/>
        <v>0.94808300655228517</v>
      </c>
      <c r="W39" s="175">
        <f t="shared" si="12"/>
        <v>350</v>
      </c>
      <c r="X39" s="386">
        <f t="shared" si="52"/>
        <v>350</v>
      </c>
      <c r="Z39" s="191">
        <f t="shared" si="13"/>
        <v>0.46073894667618365</v>
      </c>
      <c r="AA39" s="153">
        <f t="shared" si="14"/>
        <v>1.4134941575574826</v>
      </c>
      <c r="AB39" s="153">
        <f t="shared" si="75"/>
        <v>0.11396906662504547</v>
      </c>
      <c r="AC39" s="153"/>
      <c r="AD39" s="153">
        <f t="shared" si="16"/>
        <v>0.46018276762402083</v>
      </c>
      <c r="AE39" s="317">
        <f t="shared" si="76"/>
        <v>985.11583924349907</v>
      </c>
      <c r="AF39" s="463">
        <f t="shared" si="77"/>
        <v>1.2079797650130546E-2</v>
      </c>
      <c r="AH39" s="153">
        <f t="shared" si="78"/>
        <v>0.35797471510783407</v>
      </c>
      <c r="AI39" s="153">
        <f t="shared" si="79"/>
        <v>0.35797471510783407</v>
      </c>
      <c r="AJ39" s="153">
        <f t="shared" si="80"/>
        <v>1.3540553445243215</v>
      </c>
      <c r="AL39" s="317">
        <f t="shared" si="81"/>
        <v>34</v>
      </c>
      <c r="AM39" s="147">
        <f t="shared" si="82"/>
        <v>350</v>
      </c>
      <c r="AO39">
        <f t="shared" si="53"/>
        <v>34</v>
      </c>
      <c r="AP39" s="147">
        <f t="shared" si="24"/>
        <v>350</v>
      </c>
      <c r="AQ39" s="147"/>
      <c r="AR39" s="5">
        <f t="shared" si="54"/>
        <v>2.8571428571428572</v>
      </c>
      <c r="AS39" s="5">
        <f t="shared" si="25"/>
        <v>1.1216541073378801</v>
      </c>
      <c r="AT39" s="5">
        <f t="shared" si="55"/>
        <v>1.7354887498049771</v>
      </c>
      <c r="AU39" s="153">
        <f t="shared" si="56"/>
        <v>0.39257893756825801</v>
      </c>
      <c r="AW39" s="5">
        <f t="shared" si="83"/>
        <v>0.96692791308641945</v>
      </c>
      <c r="AX39" s="5">
        <f t="shared" si="84"/>
        <v>1.7786530012918513</v>
      </c>
      <c r="AY39" s="5">
        <f t="shared" si="85"/>
        <v>0.96440494504700414</v>
      </c>
      <c r="AZ39" s="5">
        <f t="shared" si="86"/>
        <v>0.8788015392540629</v>
      </c>
      <c r="BA39" s="5">
        <f t="shared" si="87"/>
        <v>0.18066223627599468</v>
      </c>
      <c r="BB39" s="147">
        <f t="shared" si="88"/>
        <v>13.783889942921821</v>
      </c>
      <c r="BC39" s="5"/>
      <c r="BD39" s="153">
        <f t="shared" si="57"/>
        <v>0.12949566268560797</v>
      </c>
      <c r="BE39" s="153">
        <f t="shared" si="89"/>
        <v>0.16107815566093031</v>
      </c>
      <c r="BF39" s="153">
        <f t="shared" si="90"/>
        <v>0.16128871534153286</v>
      </c>
      <c r="BG39" s="153"/>
      <c r="BH39" s="463">
        <f t="shared" si="34"/>
        <v>5.8691943290346662E-3</v>
      </c>
      <c r="BI39" s="463">
        <f t="shared" si="35"/>
        <v>1.8994138383621677E-2</v>
      </c>
      <c r="BJ39" s="463">
        <f t="shared" si="36"/>
        <v>4.3749999999999995E-3</v>
      </c>
      <c r="BK39" s="463">
        <f t="shared" si="37"/>
        <v>1.6087792E-2</v>
      </c>
      <c r="BL39">
        <f t="shared" si="38"/>
        <v>4.3499999999999997E-3</v>
      </c>
      <c r="BM39">
        <f t="shared" si="91"/>
        <v>8.7499999999999992E-6</v>
      </c>
      <c r="BN39">
        <f t="shared" si="92"/>
        <v>5.0531935279577979E-2</v>
      </c>
      <c r="BO39" s="147">
        <f t="shared" si="58"/>
        <v>50.531935279577979</v>
      </c>
      <c r="BP39" s="153">
        <f t="shared" si="93"/>
        <v>3.2810875584580956E-2</v>
      </c>
      <c r="BQ39" s="153">
        <f t="shared" si="94"/>
        <v>3.2862733968142821E-2</v>
      </c>
      <c r="BR39" s="463"/>
      <c r="BT39" s="147">
        <f t="shared" si="59"/>
        <v>65.673609552723775</v>
      </c>
      <c r="BU39" s="463">
        <f t="shared" si="43"/>
        <v>1.676912665438476E-2</v>
      </c>
      <c r="BV39" s="463">
        <f t="shared" si="60"/>
        <v>2.5946172231126895E-2</v>
      </c>
      <c r="BW39" s="463">
        <f t="shared" si="95"/>
        <v>1.3007024848261009E-3</v>
      </c>
      <c r="BX39" s="463">
        <f t="shared" si="45"/>
        <v>0</v>
      </c>
      <c r="BY39" s="463">
        <f t="shared" si="96"/>
        <v>4.9472126750686435E-2</v>
      </c>
      <c r="BZ39" s="463">
        <f t="shared" si="61"/>
        <v>4.401600137033776E-2</v>
      </c>
      <c r="CA39" s="549">
        <f t="shared" si="97"/>
        <v>2.2425531914893628E-2</v>
      </c>
      <c r="CB39" s="147">
        <f t="shared" si="62"/>
        <v>71.897658665580067</v>
      </c>
      <c r="CC39" s="153">
        <f t="shared" si="63"/>
        <v>0.18810320349788182</v>
      </c>
      <c r="CD39" s="5">
        <f t="shared" si="64"/>
        <v>1.054</v>
      </c>
      <c r="CE39" s="153">
        <f t="shared" si="65"/>
        <v>0.84856072911802727</v>
      </c>
      <c r="CF39" s="5">
        <f t="shared" si="66"/>
        <v>84.856072911802727</v>
      </c>
      <c r="CG39">
        <f t="shared" si="102"/>
        <v>34</v>
      </c>
      <c r="CI39" s="59">
        <f t="shared" si="98"/>
        <v>-50</v>
      </c>
      <c r="CJ39">
        <f t="shared" si="99"/>
        <v>-50</v>
      </c>
    </row>
    <row r="40" spans="5:88" x14ac:dyDescent="0.25">
      <c r="E40" s="150">
        <v>35</v>
      </c>
      <c r="F40" s="191">
        <f t="shared" ref="F40:F71" si="103">IF(PLOT_TYPE=1, E40/100*Iout_max, min_I*EXP(O40*rr/100))</f>
        <v>3.4999999999999996E-2</v>
      </c>
      <c r="G40" s="191">
        <f t="shared" si="100"/>
        <v>3.4999999999999996E-2</v>
      </c>
      <c r="H40" s="191">
        <f t="shared" si="70"/>
        <v>0.52499999999999991</v>
      </c>
      <c r="I40" s="191">
        <f t="shared" ref="I40:I71" si="104">Vout2*G40</f>
        <v>0.55999999999999994</v>
      </c>
      <c r="J40" s="472">
        <f t="shared" si="1"/>
        <v>15</v>
      </c>
      <c r="K40" s="386">
        <f t="shared" si="2"/>
        <v>15.32</v>
      </c>
      <c r="L40" s="386">
        <f t="shared" si="3"/>
        <v>30.32</v>
      </c>
      <c r="M40" s="386"/>
      <c r="N40" s="191">
        <f t="shared" si="4"/>
        <v>0.50527704485488123</v>
      </c>
      <c r="O40" s="152">
        <f t="shared" si="101"/>
        <v>1.237725019150566</v>
      </c>
      <c r="P40" s="152">
        <f t="shared" si="71"/>
        <v>2.7284960422163587</v>
      </c>
      <c r="Q40" s="191">
        <f t="shared" si="6"/>
        <v>8.25150012767044E-2</v>
      </c>
      <c r="R40" s="191">
        <f t="shared" si="72"/>
        <v>7.7357813696910374E-2</v>
      </c>
      <c r="S40" s="386">
        <f t="shared" si="73"/>
        <v>15</v>
      </c>
      <c r="T40" s="191">
        <f t="shared" si="74"/>
        <v>0.31812397253650521</v>
      </c>
      <c r="U40" s="191">
        <f t="shared" si="10"/>
        <v>0.99678844728104965</v>
      </c>
      <c r="V40" s="191">
        <f t="shared" si="11"/>
        <v>0.97596780086264645</v>
      </c>
      <c r="W40" s="175">
        <f t="shared" si="12"/>
        <v>350</v>
      </c>
      <c r="X40" s="386">
        <f t="shared" si="52"/>
        <v>350</v>
      </c>
      <c r="Z40" s="191">
        <f t="shared" si="13"/>
        <v>0.46073894667618365</v>
      </c>
      <c r="AA40" s="153">
        <f t="shared" si="14"/>
        <v>1.4134941575574826</v>
      </c>
      <c r="AB40" s="153">
        <f t="shared" si="75"/>
        <v>0.11396906662504547</v>
      </c>
      <c r="AC40" s="153"/>
      <c r="AD40" s="153">
        <f t="shared" si="16"/>
        <v>0.46018276762402083</v>
      </c>
      <c r="AE40" s="317">
        <f t="shared" si="76"/>
        <v>1014.0898345153665</v>
      </c>
      <c r="AF40" s="463">
        <f t="shared" si="77"/>
        <v>1.2079797650130546E-2</v>
      </c>
      <c r="AH40" s="153">
        <f t="shared" si="78"/>
        <v>0.36320089980205345</v>
      </c>
      <c r="AI40" s="153">
        <f t="shared" si="79"/>
        <v>0.36320089980205345</v>
      </c>
      <c r="AJ40" s="153">
        <f t="shared" si="80"/>
        <v>1.3579265924459656</v>
      </c>
      <c r="AL40" s="317">
        <f t="shared" si="81"/>
        <v>34.999999999999993</v>
      </c>
      <c r="AM40" s="147">
        <f t="shared" si="82"/>
        <v>350</v>
      </c>
      <c r="AO40">
        <f t="shared" si="53"/>
        <v>34.999999999999993</v>
      </c>
      <c r="AP40" s="147">
        <f t="shared" si="24"/>
        <v>350</v>
      </c>
      <c r="AQ40" s="147"/>
      <c r="AR40" s="5">
        <f t="shared" si="54"/>
        <v>2.8571428571428572</v>
      </c>
      <c r="AS40" s="5">
        <f t="shared" si="25"/>
        <v>1.1380294860464342</v>
      </c>
      <c r="AT40" s="5">
        <f t="shared" si="55"/>
        <v>1.719113371096423</v>
      </c>
      <c r="AU40" s="153">
        <f t="shared" si="56"/>
        <v>0.39831032011625195</v>
      </c>
      <c r="AW40" s="5">
        <f t="shared" si="83"/>
        <v>0.96692791308641945</v>
      </c>
      <c r="AX40" s="5">
        <f t="shared" si="84"/>
        <v>1.8817300402962953</v>
      </c>
      <c r="AY40" s="5">
        <f t="shared" si="85"/>
        <v>0.96440494504700414</v>
      </c>
      <c r="AZ40" s="5">
        <f t="shared" si="86"/>
        <v>0.92919713286005778</v>
      </c>
      <c r="BA40" s="5">
        <f t="shared" si="87"/>
        <v>0.18422103779156732</v>
      </c>
      <c r="BB40" s="147">
        <f t="shared" si="88"/>
        <v>14.05768894547866</v>
      </c>
      <c r="BC40" s="5"/>
      <c r="BD40" s="153">
        <f t="shared" si="57"/>
        <v>0.13234180934823919</v>
      </c>
      <c r="BE40" s="153">
        <f t="shared" si="89"/>
        <v>0.16265692946846153</v>
      </c>
      <c r="BF40" s="153">
        <f t="shared" si="90"/>
        <v>0.1628695529056752</v>
      </c>
      <c r="BG40" s="153"/>
      <c r="BH40" s="463">
        <f t="shared" si="34"/>
        <v>6.1300240755479919E-3</v>
      </c>
      <c r="BI40" s="463">
        <f t="shared" si="35"/>
        <v>1.9271439743496956E-2</v>
      </c>
      <c r="BJ40" s="463">
        <f t="shared" si="36"/>
        <v>4.3749999999999995E-3</v>
      </c>
      <c r="BK40" s="463">
        <f t="shared" si="37"/>
        <v>1.6087792E-2</v>
      </c>
      <c r="BL40">
        <f t="shared" si="38"/>
        <v>4.3499999999999997E-3</v>
      </c>
      <c r="BM40">
        <f t="shared" si="91"/>
        <v>8.7499999999999992E-6</v>
      </c>
      <c r="BN40">
        <f t="shared" si="92"/>
        <v>5.1108362087159277E-2</v>
      </c>
      <c r="BO40" s="147">
        <f t="shared" si="58"/>
        <v>51.108362087159279</v>
      </c>
      <c r="BP40" s="153">
        <f t="shared" si="93"/>
        <v>3.3583359401938566E-2</v>
      </c>
      <c r="BQ40" s="153">
        <f t="shared" si="94"/>
        <v>3.3636239325462627E-2</v>
      </c>
      <c r="BR40" s="463"/>
      <c r="BT40" s="147">
        <f t="shared" si="59"/>
        <v>67.219598727401191</v>
      </c>
      <c r="BU40" s="463">
        <f t="shared" si="43"/>
        <v>1.7514354501565691E-2</v>
      </c>
      <c r="BV40" s="463">
        <f t="shared" si="60"/>
        <v>2.6457276704108069E-2</v>
      </c>
      <c r="BW40" s="463">
        <f t="shared" si="95"/>
        <v>1.3263245631847268E-3</v>
      </c>
      <c r="BX40" s="463">
        <f t="shared" si="45"/>
        <v>0</v>
      </c>
      <c r="BY40" s="463">
        <f t="shared" si="96"/>
        <v>5.0918229798821955E-2</v>
      </c>
      <c r="BZ40" s="463">
        <f t="shared" si="61"/>
        <v>4.5297955768858485E-2</v>
      </c>
      <c r="CA40" s="549">
        <f t="shared" si="97"/>
        <v>2.3085106382978726E-2</v>
      </c>
      <c r="CB40" s="147">
        <f t="shared" si="62"/>
        <v>74.003336181800691</v>
      </c>
      <c r="CC40" s="153">
        <f t="shared" si="63"/>
        <v>0.19233129699636115</v>
      </c>
      <c r="CD40" s="5">
        <f t="shared" si="64"/>
        <v>1.085</v>
      </c>
      <c r="CE40" s="153">
        <f t="shared" si="65"/>
        <v>0.84942724143013848</v>
      </c>
      <c r="CF40" s="5">
        <f t="shared" si="66"/>
        <v>84.942724143013848</v>
      </c>
      <c r="CG40">
        <f t="shared" si="102"/>
        <v>34.999999999999993</v>
      </c>
      <c r="CI40" s="59">
        <f t="shared" si="98"/>
        <v>-50</v>
      </c>
      <c r="CJ40">
        <f t="shared" si="99"/>
        <v>-50</v>
      </c>
    </row>
    <row r="41" spans="5:88" x14ac:dyDescent="0.25">
      <c r="E41" s="150">
        <v>36</v>
      </c>
      <c r="F41" s="191">
        <f t="shared" si="103"/>
        <v>3.5999999999999997E-2</v>
      </c>
      <c r="G41" s="191">
        <f t="shared" si="100"/>
        <v>3.5999999999999997E-2</v>
      </c>
      <c r="H41" s="191">
        <f t="shared" si="70"/>
        <v>0.53999999999999992</v>
      </c>
      <c r="I41" s="191">
        <f t="shared" si="104"/>
        <v>0.57599999999999996</v>
      </c>
      <c r="J41" s="472">
        <f t="shared" si="1"/>
        <v>15</v>
      </c>
      <c r="K41" s="386">
        <f t="shared" si="2"/>
        <v>15.32</v>
      </c>
      <c r="L41" s="386">
        <f t="shared" si="3"/>
        <v>30.32</v>
      </c>
      <c r="M41" s="386"/>
      <c r="N41" s="191">
        <f t="shared" si="4"/>
        <v>0.50527704485488123</v>
      </c>
      <c r="O41" s="152">
        <f t="shared" si="101"/>
        <v>1.237725019150566</v>
      </c>
      <c r="P41" s="152">
        <f t="shared" si="71"/>
        <v>2.7284960422163587</v>
      </c>
      <c r="Q41" s="191">
        <f t="shared" si="6"/>
        <v>8.25150012767044E-2</v>
      </c>
      <c r="R41" s="191">
        <f t="shared" si="72"/>
        <v>7.7357813696910374E-2</v>
      </c>
      <c r="S41" s="386">
        <f t="shared" si="73"/>
        <v>15</v>
      </c>
      <c r="T41" s="191">
        <f t="shared" si="74"/>
        <v>0.32721322889469101</v>
      </c>
      <c r="U41" s="191">
        <f t="shared" si="10"/>
        <v>1.0252681172033651</v>
      </c>
      <c r="V41" s="191">
        <f t="shared" si="11"/>
        <v>1.0038525951730077</v>
      </c>
      <c r="W41" s="175">
        <f t="shared" si="12"/>
        <v>350</v>
      </c>
      <c r="X41" s="386">
        <f t="shared" si="52"/>
        <v>350</v>
      </c>
      <c r="Z41" s="191">
        <f t="shared" si="13"/>
        <v>0.46073894667618365</v>
      </c>
      <c r="AA41" s="153">
        <f t="shared" si="14"/>
        <v>1.4134941575574826</v>
      </c>
      <c r="AB41" s="153">
        <f t="shared" si="75"/>
        <v>0.11396906662504547</v>
      </c>
      <c r="AC41" s="153"/>
      <c r="AD41" s="153">
        <f t="shared" si="16"/>
        <v>0.46018276762402083</v>
      </c>
      <c r="AE41" s="317">
        <f t="shared" si="76"/>
        <v>1043.0638297872342</v>
      </c>
      <c r="AF41" s="463">
        <f t="shared" si="77"/>
        <v>1.2079797650130546E-2</v>
      </c>
      <c r="AH41" s="153">
        <f t="shared" si="78"/>
        <v>0.36835294294671733</v>
      </c>
      <c r="AI41" s="153">
        <f t="shared" si="79"/>
        <v>0.36835294294671733</v>
      </c>
      <c r="AJ41" s="153">
        <f t="shared" si="80"/>
        <v>1.3617429207012721</v>
      </c>
      <c r="AL41" s="317">
        <f t="shared" si="81"/>
        <v>36</v>
      </c>
      <c r="AM41" s="147">
        <f t="shared" si="82"/>
        <v>350</v>
      </c>
      <c r="AO41">
        <f t="shared" si="53"/>
        <v>36</v>
      </c>
      <c r="AP41" s="147">
        <f t="shared" si="24"/>
        <v>350</v>
      </c>
      <c r="AQ41" s="147"/>
      <c r="AR41" s="5">
        <f t="shared" si="54"/>
        <v>2.8571428571428572</v>
      </c>
      <c r="AS41" s="5">
        <f t="shared" si="25"/>
        <v>1.154172554566381</v>
      </c>
      <c r="AT41" s="5">
        <f t="shared" si="55"/>
        <v>1.7029703025764762</v>
      </c>
      <c r="AU41" s="153">
        <f t="shared" si="56"/>
        <v>0.40396039409823337</v>
      </c>
      <c r="AW41" s="5">
        <f t="shared" si="83"/>
        <v>0.96692791308641945</v>
      </c>
      <c r="AX41" s="5">
        <f t="shared" si="84"/>
        <v>1.9877078630399989</v>
      </c>
      <c r="AY41" s="5">
        <f t="shared" si="85"/>
        <v>0.96440494504700414</v>
      </c>
      <c r="AZ41" s="5">
        <f t="shared" si="86"/>
        <v>0.98099549729521229</v>
      </c>
      <c r="BA41" s="5">
        <f t="shared" si="87"/>
        <v>0.18770517112842933</v>
      </c>
      <c r="BB41" s="147">
        <f t="shared" si="88"/>
        <v>14.3258878346322</v>
      </c>
      <c r="BC41" s="5"/>
      <c r="BD41" s="153">
        <f t="shared" si="57"/>
        <v>0.1351676957344364</v>
      </c>
      <c r="BE41" s="153">
        <f t="shared" si="89"/>
        <v>0.16418787274241262</v>
      </c>
      <c r="BF41" s="153">
        <f t="shared" si="90"/>
        <v>0.16440249741266416</v>
      </c>
      <c r="BG41" s="153"/>
      <c r="BH41" s="463">
        <f t="shared" si="34"/>
        <v>6.3946070895550119E-3</v>
      </c>
      <c r="BI41" s="463">
        <f t="shared" si="35"/>
        <v>1.9544807152752822E-2</v>
      </c>
      <c r="BJ41" s="463">
        <f t="shared" si="36"/>
        <v>4.3749999999999995E-3</v>
      </c>
      <c r="BK41" s="463">
        <f t="shared" si="37"/>
        <v>1.6087792E-2</v>
      </c>
      <c r="BL41">
        <f t="shared" si="38"/>
        <v>4.3499999999999997E-3</v>
      </c>
      <c r="BM41">
        <f t="shared" si="91"/>
        <v>8.7499999999999992E-6</v>
      </c>
      <c r="BN41">
        <f t="shared" si="92"/>
        <v>5.1685206665061906E-2</v>
      </c>
      <c r="BO41" s="147">
        <f t="shared" si="58"/>
        <v>51.685206665061905</v>
      </c>
      <c r="BP41" s="153">
        <f t="shared" si="93"/>
        <v>3.4347650372538514E-2</v>
      </c>
      <c r="BQ41" s="153">
        <f t="shared" si="94"/>
        <v>3.4401530402818077E-2</v>
      </c>
      <c r="BR41" s="463"/>
      <c r="BT41" s="147">
        <f t="shared" si="59"/>
        <v>68.749180775356592</v>
      </c>
      <c r="BU41" s="463">
        <f t="shared" si="43"/>
        <v>1.8270305970157177E-2</v>
      </c>
      <c r="BV41" s="463">
        <f t="shared" si="60"/>
        <v>2.695765755567868E-2</v>
      </c>
      <c r="BW41" s="463">
        <f t="shared" si="95"/>
        <v>1.3514090577760524E-3</v>
      </c>
      <c r="BX41" s="463">
        <f t="shared" si="45"/>
        <v>0</v>
      </c>
      <c r="BY41" s="463">
        <f t="shared" si="96"/>
        <v>5.2364023964221879E-2</v>
      </c>
      <c r="BZ41" s="463">
        <f t="shared" si="61"/>
        <v>4.657937258361191E-2</v>
      </c>
      <c r="CA41" s="549">
        <f t="shared" si="97"/>
        <v>2.3744680851063838E-2</v>
      </c>
      <c r="CB41" s="147">
        <f t="shared" si="62"/>
        <v>76.108704815285719</v>
      </c>
      <c r="CC41" s="153">
        <f t="shared" si="63"/>
        <v>0.19654309225570421</v>
      </c>
      <c r="CD41" s="5">
        <f t="shared" si="64"/>
        <v>1.1159999999999999</v>
      </c>
      <c r="CE41" s="153">
        <f t="shared" si="65"/>
        <v>0.85025779845602611</v>
      </c>
      <c r="CF41" s="5">
        <f t="shared" si="66"/>
        <v>85.025779845602614</v>
      </c>
      <c r="CG41">
        <f t="shared" si="102"/>
        <v>35.999999999999993</v>
      </c>
      <c r="CI41" s="59">
        <f t="shared" si="98"/>
        <v>-50</v>
      </c>
      <c r="CJ41">
        <f t="shared" si="99"/>
        <v>-50</v>
      </c>
    </row>
    <row r="42" spans="5:88" x14ac:dyDescent="0.25">
      <c r="E42" s="150">
        <v>37</v>
      </c>
      <c r="F42" s="191">
        <f t="shared" si="103"/>
        <v>3.6999999999999998E-2</v>
      </c>
      <c r="G42" s="191">
        <f t="shared" si="100"/>
        <v>3.6999999999999998E-2</v>
      </c>
      <c r="H42" s="191">
        <f t="shared" si="70"/>
        <v>0.55499999999999994</v>
      </c>
      <c r="I42" s="191">
        <f t="shared" si="104"/>
        <v>0.59199999999999997</v>
      </c>
      <c r="J42" s="472">
        <f t="shared" si="1"/>
        <v>15</v>
      </c>
      <c r="K42" s="386">
        <f t="shared" si="2"/>
        <v>15.32</v>
      </c>
      <c r="L42" s="386">
        <f t="shared" si="3"/>
        <v>30.32</v>
      </c>
      <c r="M42" s="386"/>
      <c r="N42" s="191">
        <f t="shared" si="4"/>
        <v>0.50527704485488123</v>
      </c>
      <c r="O42" s="152">
        <f t="shared" si="101"/>
        <v>1.237725019150566</v>
      </c>
      <c r="P42" s="152">
        <f t="shared" si="71"/>
        <v>2.7284960422163587</v>
      </c>
      <c r="Q42" s="191">
        <f t="shared" si="6"/>
        <v>8.25150012767044E-2</v>
      </c>
      <c r="R42" s="191">
        <f t="shared" si="72"/>
        <v>7.7357813696910374E-2</v>
      </c>
      <c r="S42" s="386">
        <f t="shared" si="73"/>
        <v>15</v>
      </c>
      <c r="T42" s="191">
        <f t="shared" si="74"/>
        <v>0.33630248525287687</v>
      </c>
      <c r="U42" s="191">
        <f t="shared" si="10"/>
        <v>1.0537477871256808</v>
      </c>
      <c r="V42" s="191">
        <f t="shared" si="11"/>
        <v>1.031737389483369</v>
      </c>
      <c r="W42" s="175">
        <f t="shared" si="12"/>
        <v>350</v>
      </c>
      <c r="X42" s="386">
        <f t="shared" si="52"/>
        <v>350</v>
      </c>
      <c r="Z42" s="191">
        <f t="shared" si="13"/>
        <v>0.46073894667618365</v>
      </c>
      <c r="AA42" s="153">
        <f t="shared" si="14"/>
        <v>1.4134941575574826</v>
      </c>
      <c r="AB42" s="153">
        <f t="shared" si="75"/>
        <v>0.11396906662504547</v>
      </c>
      <c r="AC42" s="153"/>
      <c r="AD42" s="153">
        <f t="shared" si="16"/>
        <v>0.46018276762402083</v>
      </c>
      <c r="AE42" s="317">
        <f t="shared" si="76"/>
        <v>1072.0378250591018</v>
      </c>
      <c r="AF42" s="463">
        <f t="shared" si="77"/>
        <v>1.2079797650130546E-2</v>
      </c>
      <c r="AH42" s="153">
        <f t="shared" si="78"/>
        <v>0.37343391321356167</v>
      </c>
      <c r="AI42" s="153">
        <f t="shared" si="79"/>
        <v>0.37343391321356167</v>
      </c>
      <c r="AJ42" s="153">
        <f t="shared" si="80"/>
        <v>1.3655066023804161</v>
      </c>
      <c r="AL42" s="317">
        <f t="shared" si="81"/>
        <v>37</v>
      </c>
      <c r="AM42" s="147">
        <f t="shared" si="82"/>
        <v>350</v>
      </c>
      <c r="AO42">
        <f t="shared" si="53"/>
        <v>37</v>
      </c>
      <c r="AP42" s="147">
        <f t="shared" si="24"/>
        <v>350</v>
      </c>
      <c r="AQ42" s="147"/>
      <c r="AR42" s="5">
        <f t="shared" si="54"/>
        <v>2.8571428571428572</v>
      </c>
      <c r="AS42" s="5">
        <f t="shared" si="25"/>
        <v>1.1700929280691599</v>
      </c>
      <c r="AT42" s="5">
        <f t="shared" si="55"/>
        <v>1.6870499290736973</v>
      </c>
      <c r="AU42" s="153">
        <f t="shared" si="56"/>
        <v>0.40953252482420593</v>
      </c>
      <c r="AW42" s="5">
        <f t="shared" si="83"/>
        <v>0.96692791308641945</v>
      </c>
      <c r="AX42" s="5">
        <f t="shared" si="84"/>
        <v>2.0965864695229612</v>
      </c>
      <c r="AY42" s="5">
        <f t="shared" si="85"/>
        <v>0.96440494504700414</v>
      </c>
      <c r="AZ42" s="5">
        <f t="shared" si="86"/>
        <v>1.0341966325595258</v>
      </c>
      <c r="BA42" s="5">
        <f t="shared" si="87"/>
        <v>0.19111568085407707</v>
      </c>
      <c r="BB42" s="147">
        <f t="shared" si="88"/>
        <v>14.588564952944671</v>
      </c>
      <c r="BC42" s="5"/>
      <c r="BD42" s="153">
        <f t="shared" si="57"/>
        <v>0.13797402307132636</v>
      </c>
      <c r="BE42" s="153">
        <f t="shared" si="89"/>
        <v>0.16567276421763197</v>
      </c>
      <c r="BF42" s="153">
        <f t="shared" si="90"/>
        <v>0.16588932992249159</v>
      </c>
      <c r="BG42" s="153"/>
      <c r="BH42" s="463">
        <f t="shared" si="34"/>
        <v>6.6628908648704143E-3</v>
      </c>
      <c r="BI42" s="463">
        <f t="shared" si="35"/>
        <v>1.9814403435111587E-2</v>
      </c>
      <c r="BJ42" s="463">
        <f t="shared" si="36"/>
        <v>4.3749999999999995E-3</v>
      </c>
      <c r="BK42" s="463">
        <f t="shared" si="37"/>
        <v>1.6087792E-2</v>
      </c>
      <c r="BL42">
        <f t="shared" si="38"/>
        <v>4.3499999999999997E-3</v>
      </c>
      <c r="BM42">
        <f t="shared" si="91"/>
        <v>8.7499999999999992E-6</v>
      </c>
      <c r="BN42">
        <f t="shared" si="92"/>
        <v>5.2262573123721512E-2</v>
      </c>
      <c r="BO42" s="147">
        <f t="shared" si="58"/>
        <v>52.262573123721509</v>
      </c>
      <c r="BP42" s="153">
        <f t="shared" si="93"/>
        <v>3.5103863109882463E-2</v>
      </c>
      <c r="BQ42" s="153">
        <f t="shared" si="94"/>
        <v>3.5158722113549819E-2</v>
      </c>
      <c r="BR42" s="463"/>
      <c r="BT42" s="147">
        <f t="shared" si="59"/>
        <v>70.262585223432282</v>
      </c>
      <c r="BU42" s="463">
        <f t="shared" si="43"/>
        <v>1.90368310424869E-2</v>
      </c>
      <c r="BV42" s="463">
        <f t="shared" si="60"/>
        <v>2.7447464803511075E-2</v>
      </c>
      <c r="BW42" s="463">
        <f t="shared" si="95"/>
        <v>1.3759634891066632E-3</v>
      </c>
      <c r="BX42" s="463">
        <f t="shared" si="45"/>
        <v>0</v>
      </c>
      <c r="BY42" s="463">
        <f t="shared" si="96"/>
        <v>5.3809517452113605E-2</v>
      </c>
      <c r="BZ42" s="463">
        <f t="shared" si="61"/>
        <v>4.7860259335104641E-2</v>
      </c>
      <c r="CA42" s="549">
        <f t="shared" si="97"/>
        <v>2.440425531914894E-2</v>
      </c>
      <c r="CB42" s="147">
        <f t="shared" si="62"/>
        <v>78.213772771262541</v>
      </c>
      <c r="CC42" s="153">
        <f t="shared" si="63"/>
        <v>0.20073893111841634</v>
      </c>
      <c r="CD42" s="5">
        <f t="shared" si="64"/>
        <v>1.1469999999999998</v>
      </c>
      <c r="CE42" s="153">
        <f t="shared" si="65"/>
        <v>0.85105503263021864</v>
      </c>
      <c r="CF42" s="5">
        <f t="shared" si="66"/>
        <v>85.105503263021859</v>
      </c>
      <c r="CG42">
        <f t="shared" si="102"/>
        <v>36.999999999999993</v>
      </c>
      <c r="CI42" s="59">
        <f t="shared" si="98"/>
        <v>-50</v>
      </c>
      <c r="CJ42">
        <f t="shared" si="99"/>
        <v>-50</v>
      </c>
    </row>
    <row r="43" spans="5:88" x14ac:dyDescent="0.25">
      <c r="E43" s="150">
        <v>38</v>
      </c>
      <c r="F43" s="191">
        <f t="shared" si="103"/>
        <v>3.8000000000000006E-2</v>
      </c>
      <c r="G43" s="191">
        <f t="shared" si="100"/>
        <v>3.8000000000000006E-2</v>
      </c>
      <c r="H43" s="191">
        <f t="shared" si="70"/>
        <v>0.57000000000000006</v>
      </c>
      <c r="I43" s="191">
        <f t="shared" si="104"/>
        <v>0.6080000000000001</v>
      </c>
      <c r="J43" s="472">
        <f t="shared" si="1"/>
        <v>15</v>
      </c>
      <c r="K43" s="386">
        <f t="shared" si="2"/>
        <v>15.32</v>
      </c>
      <c r="L43" s="386">
        <f t="shared" si="3"/>
        <v>30.32</v>
      </c>
      <c r="M43" s="386"/>
      <c r="N43" s="191">
        <f t="shared" si="4"/>
        <v>0.50527704485488123</v>
      </c>
      <c r="O43" s="152">
        <f t="shared" si="101"/>
        <v>1.237725019150566</v>
      </c>
      <c r="P43" s="152">
        <f t="shared" si="71"/>
        <v>2.7284960422163587</v>
      </c>
      <c r="Q43" s="191">
        <f t="shared" si="6"/>
        <v>8.25150012767044E-2</v>
      </c>
      <c r="R43" s="191">
        <f t="shared" si="72"/>
        <v>7.7357813696910374E-2</v>
      </c>
      <c r="S43" s="386">
        <f t="shared" si="73"/>
        <v>15</v>
      </c>
      <c r="T43" s="191">
        <f t="shared" si="74"/>
        <v>0.34539174161106284</v>
      </c>
      <c r="U43" s="191">
        <f t="shared" si="10"/>
        <v>1.0822274570479968</v>
      </c>
      <c r="V43" s="191">
        <f t="shared" si="11"/>
        <v>1.0596221837937307</v>
      </c>
      <c r="W43" s="175">
        <f t="shared" si="12"/>
        <v>350</v>
      </c>
      <c r="X43" s="386">
        <f t="shared" si="52"/>
        <v>350</v>
      </c>
      <c r="Z43" s="191">
        <f t="shared" si="13"/>
        <v>0.46073894667618365</v>
      </c>
      <c r="AA43" s="153">
        <f t="shared" si="14"/>
        <v>1.4134941575574826</v>
      </c>
      <c r="AB43" s="153">
        <f t="shared" si="75"/>
        <v>0.11396906662504547</v>
      </c>
      <c r="AC43" s="153"/>
      <c r="AD43" s="153">
        <f t="shared" si="16"/>
        <v>0.46018276762402083</v>
      </c>
      <c r="AE43" s="317">
        <f t="shared" si="76"/>
        <v>1101.0118203309698</v>
      </c>
      <c r="AF43" s="463">
        <f t="shared" si="77"/>
        <v>1.2079797650130546E-2</v>
      </c>
      <c r="AH43" s="153">
        <f t="shared" si="78"/>
        <v>0.37844667325592951</v>
      </c>
      <c r="AI43" s="153">
        <f t="shared" si="79"/>
        <v>0.37844667325592951</v>
      </c>
      <c r="AJ43" s="153">
        <f t="shared" si="80"/>
        <v>1.3692197579673551</v>
      </c>
      <c r="AL43" s="317">
        <f t="shared" si="81"/>
        <v>38.000000000000007</v>
      </c>
      <c r="AM43" s="147">
        <f t="shared" si="82"/>
        <v>350</v>
      </c>
      <c r="AO43">
        <f t="shared" si="53"/>
        <v>38.000000000000007</v>
      </c>
      <c r="AP43" s="147">
        <f t="shared" si="24"/>
        <v>350</v>
      </c>
      <c r="AQ43" s="147"/>
      <c r="AR43" s="5">
        <f t="shared" si="54"/>
        <v>2.8571428571428572</v>
      </c>
      <c r="AS43" s="5">
        <f t="shared" si="25"/>
        <v>1.1857995762019125</v>
      </c>
      <c r="AT43" s="5">
        <f t="shared" si="55"/>
        <v>1.6713432809409448</v>
      </c>
      <c r="AU43" s="153">
        <f t="shared" si="56"/>
        <v>0.41502985167066936</v>
      </c>
      <c r="AW43" s="5">
        <f t="shared" si="83"/>
        <v>0.96692791308641945</v>
      </c>
      <c r="AX43" s="5">
        <f t="shared" si="84"/>
        <v>2.2083658597451845</v>
      </c>
      <c r="AY43" s="5">
        <f t="shared" si="85"/>
        <v>0.96440494504700414</v>
      </c>
      <c r="AZ43" s="5">
        <f t="shared" si="86"/>
        <v>1.0888005386529993</v>
      </c>
      <c r="BA43" s="5">
        <f t="shared" si="87"/>
        <v>0.19445356888379586</v>
      </c>
      <c r="BB43" s="147">
        <f t="shared" si="88"/>
        <v>14.845795444062468</v>
      </c>
      <c r="BC43" s="5"/>
      <c r="BD43" s="153">
        <f t="shared" si="57"/>
        <v>0.14076145007233337</v>
      </c>
      <c r="BE43" s="153">
        <f t="shared" si="89"/>
        <v>0.16711326201021295</v>
      </c>
      <c r="BF43" s="153">
        <f t="shared" si="90"/>
        <v>0.16733171071872305</v>
      </c>
      <c r="BG43" s="153"/>
      <c r="BH43" s="463">
        <f t="shared" si="34"/>
        <v>6.9348250392630992E-3</v>
      </c>
      <c r="BI43" s="463">
        <f t="shared" si="35"/>
        <v>2.0080380482959619E-2</v>
      </c>
      <c r="BJ43" s="463">
        <f t="shared" si="36"/>
        <v>4.3749999999999995E-3</v>
      </c>
      <c r="BK43" s="463">
        <f t="shared" si="37"/>
        <v>1.6087792E-2</v>
      </c>
      <c r="BL43">
        <f t="shared" si="38"/>
        <v>4.3499999999999997E-3</v>
      </c>
      <c r="BM43">
        <f t="shared" si="91"/>
        <v>8.7499999999999992E-6</v>
      </c>
      <c r="BN43">
        <f t="shared" si="92"/>
        <v>5.2840557085912128E-2</v>
      </c>
      <c r="BO43" s="147">
        <f t="shared" si="58"/>
        <v>52.840557085912131</v>
      </c>
      <c r="BP43" s="153">
        <f t="shared" si="93"/>
        <v>3.5852107547526289E-2</v>
      </c>
      <c r="BQ43" s="153">
        <f t="shared" si="94"/>
        <v>3.5907924678809579E-2</v>
      </c>
      <c r="BR43" s="463"/>
      <c r="BT43" s="147">
        <f t="shared" si="59"/>
        <v>71.760032226335866</v>
      </c>
      <c r="BU43" s="463">
        <f t="shared" si="43"/>
        <v>1.9813785826466E-2</v>
      </c>
      <c r="BV43" s="463">
        <f t="shared" si="60"/>
        <v>2.7926842339694086E-2</v>
      </c>
      <c r="BW43" s="463">
        <f t="shared" si="95"/>
        <v>1.3999950706027207E-3</v>
      </c>
      <c r="BX43" s="463">
        <f t="shared" si="45"/>
        <v>0</v>
      </c>
      <c r="BY43" s="463">
        <f t="shared" si="96"/>
        <v>5.5254718128020956E-2</v>
      </c>
      <c r="BZ43" s="463">
        <f t="shared" si="61"/>
        <v>4.9140623236762805E-2</v>
      </c>
      <c r="CA43" s="549">
        <f t="shared" si="97"/>
        <v>2.5063829787234052E-2</v>
      </c>
      <c r="CB43" s="147">
        <f t="shared" si="62"/>
        <v>80.318547915254996</v>
      </c>
      <c r="CC43" s="153">
        <f t="shared" si="63"/>
        <v>0.20491913722750299</v>
      </c>
      <c r="CD43" s="5">
        <f t="shared" si="64"/>
        <v>1.1780000000000002</v>
      </c>
      <c r="CE43" s="153">
        <f t="shared" si="65"/>
        <v>0.85182131643768566</v>
      </c>
      <c r="CF43" s="5">
        <f t="shared" si="66"/>
        <v>85.182131643768571</v>
      </c>
      <c r="CG43">
        <f t="shared" si="102"/>
        <v>38.000000000000007</v>
      </c>
      <c r="CI43" s="59">
        <f t="shared" si="98"/>
        <v>-50</v>
      </c>
      <c r="CJ43">
        <f t="shared" si="99"/>
        <v>-50</v>
      </c>
    </row>
    <row r="44" spans="5:88" x14ac:dyDescent="0.25">
      <c r="E44" s="150">
        <v>39</v>
      </c>
      <c r="F44" s="191">
        <f t="shared" si="103"/>
        <v>3.9000000000000007E-2</v>
      </c>
      <c r="G44" s="191">
        <f t="shared" si="100"/>
        <v>3.9000000000000007E-2</v>
      </c>
      <c r="H44" s="191">
        <f t="shared" si="70"/>
        <v>0.58500000000000008</v>
      </c>
      <c r="I44" s="191">
        <f t="shared" si="104"/>
        <v>0.62400000000000011</v>
      </c>
      <c r="J44" s="472">
        <f t="shared" si="1"/>
        <v>15</v>
      </c>
      <c r="K44" s="386">
        <f t="shared" si="2"/>
        <v>15.32</v>
      </c>
      <c r="L44" s="386">
        <f t="shared" si="3"/>
        <v>30.32</v>
      </c>
      <c r="M44" s="386"/>
      <c r="N44" s="191">
        <f t="shared" si="4"/>
        <v>0.50527704485488123</v>
      </c>
      <c r="O44" s="152">
        <f t="shared" si="101"/>
        <v>1.237725019150566</v>
      </c>
      <c r="P44" s="152">
        <f t="shared" si="71"/>
        <v>2.7284960422163587</v>
      </c>
      <c r="Q44" s="191">
        <f t="shared" si="6"/>
        <v>8.25150012767044E-2</v>
      </c>
      <c r="R44" s="191">
        <f t="shared" si="72"/>
        <v>7.7357813696910374E-2</v>
      </c>
      <c r="S44" s="386">
        <f t="shared" si="73"/>
        <v>15</v>
      </c>
      <c r="T44" s="191">
        <f t="shared" si="74"/>
        <v>0.3544809979692487</v>
      </c>
      <c r="U44" s="191">
        <f t="shared" si="10"/>
        <v>1.1107071269703124</v>
      </c>
      <c r="V44" s="191">
        <f t="shared" si="11"/>
        <v>1.087506978104092</v>
      </c>
      <c r="W44" s="175">
        <f t="shared" si="12"/>
        <v>350</v>
      </c>
      <c r="X44" s="386">
        <f t="shared" si="52"/>
        <v>350</v>
      </c>
      <c r="Z44" s="191">
        <f t="shared" si="13"/>
        <v>0.46073894667618365</v>
      </c>
      <c r="AA44" s="153">
        <f t="shared" si="14"/>
        <v>1.4134941575574826</v>
      </c>
      <c r="AB44" s="153">
        <f t="shared" si="75"/>
        <v>0.11396906662504547</v>
      </c>
      <c r="AC44" s="153"/>
      <c r="AD44" s="153">
        <f t="shared" si="16"/>
        <v>0.46018276762402083</v>
      </c>
      <c r="AE44" s="317">
        <f t="shared" si="76"/>
        <v>1129.9858156028374</v>
      </c>
      <c r="AF44" s="463">
        <f t="shared" si="77"/>
        <v>1.2079797650130546E-2</v>
      </c>
      <c r="AH44" s="153">
        <f t="shared" si="78"/>
        <v>0.38339389856773487</v>
      </c>
      <c r="AI44" s="153">
        <f t="shared" si="79"/>
        <v>0.38339389856773487</v>
      </c>
      <c r="AJ44" s="153">
        <f t="shared" si="80"/>
        <v>1.3728843693094333</v>
      </c>
      <c r="AL44" s="317">
        <f t="shared" si="81"/>
        <v>39.000000000000007</v>
      </c>
      <c r="AM44" s="147">
        <f t="shared" si="82"/>
        <v>350</v>
      </c>
      <c r="AO44">
        <f t="shared" si="53"/>
        <v>39.000000000000007</v>
      </c>
      <c r="AP44" s="147">
        <f t="shared" si="24"/>
        <v>350</v>
      </c>
      <c r="AQ44" s="147"/>
      <c r="AR44" s="5">
        <f t="shared" si="54"/>
        <v>2.8571428571428572</v>
      </c>
      <c r="AS44" s="5">
        <f t="shared" si="25"/>
        <v>1.2013008821789026</v>
      </c>
      <c r="AT44" s="5">
        <f t="shared" si="55"/>
        <v>1.6558419749639546</v>
      </c>
      <c r="AU44" s="153">
        <f t="shared" si="56"/>
        <v>0.42045530876261589</v>
      </c>
      <c r="AW44" s="5">
        <f t="shared" si="83"/>
        <v>0.96692791308641945</v>
      </c>
      <c r="AX44" s="5">
        <f t="shared" si="84"/>
        <v>2.3230460337066661</v>
      </c>
      <c r="AY44" s="5">
        <f t="shared" si="85"/>
        <v>0.96440494504700414</v>
      </c>
      <c r="AZ44" s="5">
        <f t="shared" si="86"/>
        <v>1.1448072155756315</v>
      </c>
      <c r="BA44" s="5">
        <f t="shared" si="87"/>
        <v>0.19771979730680703</v>
      </c>
      <c r="BB44" s="147">
        <f t="shared" si="88"/>
        <v>15.097651464677194</v>
      </c>
      <c r="BC44" s="5"/>
      <c r="BD44" s="153">
        <f t="shared" si="57"/>
        <v>0.14353059656291506</v>
      </c>
      <c r="BE44" s="153">
        <f t="shared" si="89"/>
        <v>0.16851091459195128</v>
      </c>
      <c r="BF44" s="153">
        <f t="shared" si="90"/>
        <v>0.16873119029730024</v>
      </c>
      <c r="BG44" s="153"/>
      <c r="BH44" s="463">
        <f t="shared" si="34"/>
        <v>7.2103612523971988E-3</v>
      </c>
      <c r="BI44" s="463">
        <f t="shared" si="35"/>
        <v>2.0342880258004015E-2</v>
      </c>
      <c r="BJ44" s="463">
        <f t="shared" si="36"/>
        <v>4.3749999999999995E-3</v>
      </c>
      <c r="BK44" s="463">
        <f t="shared" si="37"/>
        <v>1.6087792E-2</v>
      </c>
      <c r="BL44">
        <f t="shared" si="38"/>
        <v>4.3499999999999997E-3</v>
      </c>
      <c r="BM44">
        <f t="shared" si="91"/>
        <v>8.7499999999999992E-6</v>
      </c>
      <c r="BN44">
        <f t="shared" si="92"/>
        <v>5.3419246525518972E-2</v>
      </c>
      <c r="BO44" s="147">
        <f t="shared" si="58"/>
        <v>53.419246525518972</v>
      </c>
      <c r="BP44" s="153">
        <f t="shared" si="93"/>
        <v>3.6592489249174555E-2</v>
      </c>
      <c r="BQ44" s="153">
        <f t="shared" si="94"/>
        <v>3.6649243938465824E-2</v>
      </c>
      <c r="BR44" s="463"/>
      <c r="BT44" s="147">
        <f t="shared" si="59"/>
        <v>73.241733187640378</v>
      </c>
      <c r="BU44" s="463">
        <f t="shared" si="43"/>
        <v>2.0601032149706284E-2</v>
      </c>
      <c r="BV44" s="463">
        <f t="shared" si="60"/>
        <v>2.8395928336615899E-2</v>
      </c>
      <c r="BW44" s="463">
        <f t="shared" si="95"/>
        <v>1.4235107289571874E-3</v>
      </c>
      <c r="BX44" s="463">
        <f t="shared" si="45"/>
        <v>0</v>
      </c>
      <c r="BY44" s="463">
        <f t="shared" si="96"/>
        <v>5.6699633540380066E-2</v>
      </c>
      <c r="BZ44" s="463">
        <f t="shared" si="61"/>
        <v>5.0420471215279372E-2</v>
      </c>
      <c r="CA44" s="549">
        <f t="shared" si="97"/>
        <v>2.5723404255319153E-2</v>
      </c>
      <c r="CB44" s="147">
        <f t="shared" si="62"/>
        <v>82.423037795699216</v>
      </c>
      <c r="CC44" s="153">
        <f t="shared" si="63"/>
        <v>0.20908401750885858</v>
      </c>
      <c r="CD44" s="5">
        <f t="shared" si="64"/>
        <v>1.2090000000000001</v>
      </c>
      <c r="CE44" s="153">
        <f t="shared" si="65"/>
        <v>0.85255879417063352</v>
      </c>
      <c r="CF44" s="5">
        <f t="shared" si="66"/>
        <v>85.255879417063355</v>
      </c>
      <c r="CG44">
        <f t="shared" si="102"/>
        <v>39.000000000000007</v>
      </c>
      <c r="CI44" s="59">
        <f t="shared" si="98"/>
        <v>-50</v>
      </c>
      <c r="CJ44">
        <f t="shared" si="99"/>
        <v>-50</v>
      </c>
    </row>
    <row r="45" spans="5:88" x14ac:dyDescent="0.25">
      <c r="E45" s="150">
        <v>40</v>
      </c>
      <c r="F45" s="191">
        <f t="shared" si="103"/>
        <v>4.0000000000000008E-2</v>
      </c>
      <c r="G45" s="191">
        <f t="shared" si="100"/>
        <v>4.0000000000000008E-2</v>
      </c>
      <c r="H45" s="191">
        <f t="shared" si="70"/>
        <v>0.60000000000000009</v>
      </c>
      <c r="I45" s="191">
        <f t="shared" si="104"/>
        <v>0.64000000000000012</v>
      </c>
      <c r="J45" s="472">
        <f t="shared" si="1"/>
        <v>15</v>
      </c>
      <c r="K45" s="386">
        <f t="shared" si="2"/>
        <v>15.32</v>
      </c>
      <c r="L45" s="386">
        <f t="shared" si="3"/>
        <v>30.32</v>
      </c>
      <c r="M45" s="386"/>
      <c r="N45" s="191">
        <f t="shared" si="4"/>
        <v>0.50527704485488123</v>
      </c>
      <c r="O45" s="152">
        <f t="shared" si="101"/>
        <v>1.237725019150566</v>
      </c>
      <c r="P45" s="152">
        <f t="shared" si="71"/>
        <v>2.7284960422163587</v>
      </c>
      <c r="Q45" s="191">
        <f t="shared" si="6"/>
        <v>8.25150012767044E-2</v>
      </c>
      <c r="R45" s="191">
        <f t="shared" si="72"/>
        <v>7.7357813696910374E-2</v>
      </c>
      <c r="S45" s="386">
        <f t="shared" si="73"/>
        <v>15</v>
      </c>
      <c r="T45" s="191">
        <f t="shared" si="74"/>
        <v>0.36357025432743456</v>
      </c>
      <c r="U45" s="191">
        <f t="shared" si="10"/>
        <v>1.1391867968926284</v>
      </c>
      <c r="V45" s="191">
        <f t="shared" si="11"/>
        <v>1.1153917724144533</v>
      </c>
      <c r="W45" s="175">
        <f t="shared" si="12"/>
        <v>350</v>
      </c>
      <c r="X45" s="386">
        <f t="shared" si="52"/>
        <v>350</v>
      </c>
      <c r="Z45" s="191">
        <f t="shared" si="13"/>
        <v>0.46073894667618365</v>
      </c>
      <c r="AA45" s="153">
        <f t="shared" si="14"/>
        <v>1.4134941575574826</v>
      </c>
      <c r="AB45" s="153">
        <f t="shared" si="75"/>
        <v>0.11396906662504547</v>
      </c>
      <c r="AC45" s="153"/>
      <c r="AD45" s="153">
        <f t="shared" si="16"/>
        <v>0.46018276762402083</v>
      </c>
      <c r="AE45" s="317">
        <f t="shared" si="76"/>
        <v>1158.959810874705</v>
      </c>
      <c r="AF45" s="463">
        <f t="shared" si="77"/>
        <v>1.2079797650130546E-2</v>
      </c>
      <c r="AH45" s="153">
        <f t="shared" si="78"/>
        <v>0.38827809417922732</v>
      </c>
      <c r="AI45" s="153">
        <f t="shared" si="79"/>
        <v>0.38827809417922732</v>
      </c>
      <c r="AJ45" s="153">
        <f t="shared" si="80"/>
        <v>1.3765022919846128</v>
      </c>
      <c r="AL45" s="317">
        <f t="shared" si="81"/>
        <v>40.000000000000007</v>
      </c>
      <c r="AM45" s="147">
        <f t="shared" si="82"/>
        <v>350</v>
      </c>
      <c r="AO45">
        <f t="shared" si="53"/>
        <v>40.000000000000007</v>
      </c>
      <c r="AP45" s="147">
        <f t="shared" si="24"/>
        <v>350</v>
      </c>
      <c r="AQ45" s="147"/>
      <c r="AR45" s="5">
        <f t="shared" si="54"/>
        <v>2.8571428571428572</v>
      </c>
      <c r="AS45" s="5">
        <f t="shared" si="25"/>
        <v>1.2166046950949123</v>
      </c>
      <c r="AT45" s="5">
        <f t="shared" si="55"/>
        <v>1.6405381620479449</v>
      </c>
      <c r="AU45" s="153">
        <f t="shared" si="56"/>
        <v>0.4258116432832193</v>
      </c>
      <c r="AW45" s="5">
        <f t="shared" si="83"/>
        <v>0.96692791308641945</v>
      </c>
      <c r="AX45" s="5">
        <f t="shared" si="84"/>
        <v>2.4406269914074068</v>
      </c>
      <c r="AY45" s="5">
        <f t="shared" si="85"/>
        <v>0.96440494504700414</v>
      </c>
      <c r="AZ45" s="5">
        <f t="shared" si="86"/>
        <v>1.2022166633274234</v>
      </c>
      <c r="BA45" s="5">
        <f t="shared" si="87"/>
        <v>0.20091529095698291</v>
      </c>
      <c r="BB45" s="147">
        <f t="shared" si="88"/>
        <v>15.344202377329273</v>
      </c>
      <c r="BC45" s="5"/>
      <c r="BD45" s="153">
        <f t="shared" si="57"/>
        <v>0.14628204671223966</v>
      </c>
      <c r="BE45" s="153">
        <f t="shared" si="89"/>
        <v>0.16986717050731856</v>
      </c>
      <c r="BF45" s="153">
        <f t="shared" si="90"/>
        <v>0.17008921909621702</v>
      </c>
      <c r="BG45" s="153"/>
      <c r="BH45" s="463">
        <f t="shared" si="34"/>
        <v>7.4894530166126523E-3</v>
      </c>
      <c r="BI45" s="463">
        <f t="shared" si="35"/>
        <v>2.0602035677149803E-2</v>
      </c>
      <c r="BJ45" s="463">
        <f t="shared" si="36"/>
        <v>4.3749999999999995E-3</v>
      </c>
      <c r="BK45" s="463">
        <f t="shared" si="37"/>
        <v>1.6087792E-2</v>
      </c>
      <c r="BL45">
        <f t="shared" si="38"/>
        <v>4.3499999999999997E-3</v>
      </c>
      <c r="BM45">
        <f t="shared" si="91"/>
        <v>8.7499999999999992E-6</v>
      </c>
      <c r="BN45">
        <f t="shared" si="92"/>
        <v>5.3998722506163485E-2</v>
      </c>
      <c r="BO45" s="147">
        <f t="shared" si="58"/>
        <v>53.998722506163482</v>
      </c>
      <c r="BP45" s="153">
        <f t="shared" si="93"/>
        <v>3.7325109690748114E-2</v>
      </c>
      <c r="BQ45" s="153">
        <f t="shared" si="94"/>
        <v>3.7382781633909339E-2</v>
      </c>
      <c r="BR45" s="463"/>
      <c r="BT45" s="147">
        <f t="shared" si="59"/>
        <v>74.707891324657453</v>
      </c>
      <c r="BU45" s="463">
        <f t="shared" si="43"/>
        <v>2.1398437190321865E-2</v>
      </c>
      <c r="BV45" s="463">
        <f t="shared" si="60"/>
        <v>2.8854855616162436E-2</v>
      </c>
      <c r="BW45" s="463">
        <f t="shared" si="95"/>
        <v>1.446517122638046E-3</v>
      </c>
      <c r="BX45" s="463">
        <f t="shared" si="45"/>
        <v>0</v>
      </c>
      <c r="BY45" s="463">
        <f t="shared" si="96"/>
        <v>5.8144270941106843E-2</v>
      </c>
      <c r="BZ45" s="463">
        <f t="shared" si="61"/>
        <v>5.1699809929122348E-2</v>
      </c>
      <c r="CA45" s="549">
        <f t="shared" si="97"/>
        <v>2.6382978723404268E-2</v>
      </c>
      <c r="CB45" s="147">
        <f t="shared" si="62"/>
        <v>84.527249664511118</v>
      </c>
      <c r="CC45" s="153">
        <f t="shared" si="63"/>
        <v>0.21323386349533208</v>
      </c>
      <c r="CD45" s="5">
        <f t="shared" si="64"/>
        <v>1.2400000000000002</v>
      </c>
      <c r="CE45" s="153">
        <f t="shared" si="65"/>
        <v>0.8532694091077262</v>
      </c>
      <c r="CF45" s="5">
        <f t="shared" si="66"/>
        <v>85.32694091077262</v>
      </c>
      <c r="CG45">
        <f t="shared" si="102"/>
        <v>40.000000000000007</v>
      </c>
      <c r="CI45" s="59">
        <f t="shared" si="98"/>
        <v>-50</v>
      </c>
      <c r="CJ45">
        <f t="shared" si="99"/>
        <v>-50</v>
      </c>
    </row>
    <row r="46" spans="5:88" x14ac:dyDescent="0.25">
      <c r="E46" s="150">
        <v>41</v>
      </c>
      <c r="F46" s="191">
        <f t="shared" si="103"/>
        <v>4.1000000000000002E-2</v>
      </c>
      <c r="G46" s="191">
        <f t="shared" si="100"/>
        <v>4.1000000000000002E-2</v>
      </c>
      <c r="H46" s="191">
        <f t="shared" si="70"/>
        <v>0.61499999999999999</v>
      </c>
      <c r="I46" s="191">
        <f t="shared" si="104"/>
        <v>0.65600000000000003</v>
      </c>
      <c r="J46" s="472">
        <f t="shared" si="1"/>
        <v>15</v>
      </c>
      <c r="K46" s="386">
        <f t="shared" si="2"/>
        <v>15.32</v>
      </c>
      <c r="L46" s="386">
        <f t="shared" si="3"/>
        <v>30.32</v>
      </c>
      <c r="M46" s="386"/>
      <c r="N46" s="191">
        <f t="shared" si="4"/>
        <v>0.50527704485488123</v>
      </c>
      <c r="O46" s="152">
        <f t="shared" si="101"/>
        <v>1.237725019150566</v>
      </c>
      <c r="P46" s="152">
        <f t="shared" si="71"/>
        <v>2.7284960422163587</v>
      </c>
      <c r="Q46" s="191">
        <f t="shared" si="6"/>
        <v>8.25150012767044E-2</v>
      </c>
      <c r="R46" s="191">
        <f t="shared" si="72"/>
        <v>7.7357813696910374E-2</v>
      </c>
      <c r="S46" s="386">
        <f t="shared" si="73"/>
        <v>15</v>
      </c>
      <c r="T46" s="191">
        <f t="shared" si="74"/>
        <v>0.37265951068562037</v>
      </c>
      <c r="U46" s="191">
        <f t="shared" si="10"/>
        <v>1.1676664668149437</v>
      </c>
      <c r="V46" s="191">
        <f t="shared" si="11"/>
        <v>1.1432765667248144</v>
      </c>
      <c r="W46" s="175">
        <f t="shared" si="12"/>
        <v>350</v>
      </c>
      <c r="X46" s="386">
        <f t="shared" si="52"/>
        <v>350</v>
      </c>
      <c r="Z46" s="191">
        <f t="shared" si="13"/>
        <v>0.46073894667618365</v>
      </c>
      <c r="AA46" s="153">
        <f t="shared" si="14"/>
        <v>1.4134941575574826</v>
      </c>
      <c r="AB46" s="153">
        <f t="shared" si="75"/>
        <v>0.11396906662504547</v>
      </c>
      <c r="AC46" s="153"/>
      <c r="AD46" s="153">
        <f t="shared" si="16"/>
        <v>0.46018276762402083</v>
      </c>
      <c r="AE46" s="317">
        <f t="shared" si="76"/>
        <v>1187.9338061465724</v>
      </c>
      <c r="AF46" s="463">
        <f t="shared" si="77"/>
        <v>1.2079797650130546E-2</v>
      </c>
      <c r="AH46" s="153">
        <f t="shared" si="78"/>
        <v>0.39310160948530748</v>
      </c>
      <c r="AI46" s="153">
        <f t="shared" si="79"/>
        <v>0.39310160948530748</v>
      </c>
      <c r="AJ46" s="153">
        <f t="shared" si="80"/>
        <v>1.380075266285413</v>
      </c>
      <c r="AL46" s="317">
        <f t="shared" si="81"/>
        <v>41</v>
      </c>
      <c r="AM46" s="147">
        <f t="shared" si="82"/>
        <v>350</v>
      </c>
      <c r="AO46">
        <f t="shared" si="53"/>
        <v>41</v>
      </c>
      <c r="AP46" s="147">
        <f t="shared" si="24"/>
        <v>350</v>
      </c>
      <c r="AQ46" s="147"/>
      <c r="AR46" s="5">
        <f t="shared" si="54"/>
        <v>2.8571428571428572</v>
      </c>
      <c r="AS46" s="5">
        <f t="shared" si="25"/>
        <v>1.2317183763872968</v>
      </c>
      <c r="AT46" s="5">
        <f t="shared" si="55"/>
        <v>1.6254244807555605</v>
      </c>
      <c r="AU46" s="153">
        <f t="shared" si="56"/>
        <v>0.43110143173555387</v>
      </c>
      <c r="AW46" s="5">
        <f t="shared" si="83"/>
        <v>0.96692791308641945</v>
      </c>
      <c r="AX46" s="5">
        <f t="shared" si="84"/>
        <v>2.5611087328474067</v>
      </c>
      <c r="AY46" s="5">
        <f t="shared" si="85"/>
        <v>0.96440494504700414</v>
      </c>
      <c r="AZ46" s="5">
        <f t="shared" si="86"/>
        <v>1.2610288819083737</v>
      </c>
      <c r="BA46" s="5">
        <f t="shared" si="87"/>
        <v>0.20404093975706836</v>
      </c>
      <c r="BB46" s="147">
        <f t="shared" si="88"/>
        <v>15.585514926224571</v>
      </c>
      <c r="BC46" s="5"/>
      <c r="BD46" s="153">
        <f t="shared" si="57"/>
        <v>0.14901635192239449</v>
      </c>
      <c r="BE46" s="153">
        <f t="shared" si="89"/>
        <v>0.17118338700466079</v>
      </c>
      <c r="BF46" s="153">
        <f t="shared" si="90"/>
        <v>0.17140715613800023</v>
      </c>
      <c r="BG46" s="153"/>
      <c r="BH46" s="463">
        <f t="shared" si="34"/>
        <v>7.7720555990906225E-3</v>
      </c>
      <c r="BI46" s="463">
        <f t="shared" si="35"/>
        <v>2.0857971399290416E-2</v>
      </c>
      <c r="BJ46" s="463">
        <f t="shared" si="36"/>
        <v>4.3749999999999995E-3</v>
      </c>
      <c r="BK46" s="463">
        <f t="shared" si="37"/>
        <v>1.6087792E-2</v>
      </c>
      <c r="BL46">
        <f t="shared" si="38"/>
        <v>4.3499999999999997E-3</v>
      </c>
      <c r="BM46">
        <f t="shared" si="91"/>
        <v>8.7499999999999992E-6</v>
      </c>
      <c r="BN46">
        <f t="shared" si="92"/>
        <v>5.457905983371563E-2</v>
      </c>
      <c r="BO46" s="147">
        <f t="shared" si="58"/>
        <v>54.579059833715633</v>
      </c>
      <c r="BP46" s="153">
        <f t="shared" si="93"/>
        <v>3.8050066517600026E-2</v>
      </c>
      <c r="BQ46" s="153">
        <f t="shared" si="94"/>
        <v>3.8108635665942032E-2</v>
      </c>
      <c r="BR46" s="463"/>
      <c r="BT46" s="147">
        <f t="shared" si="59"/>
        <v>76.158702183542061</v>
      </c>
      <c r="BU46" s="463">
        <f t="shared" si="43"/>
        <v>2.2205873140258924E-2</v>
      </c>
      <c r="BV46" s="463">
        <f t="shared" si="60"/>
        <v>2.9303751986387468E-2</v>
      </c>
      <c r="BW46" s="463">
        <f t="shared" si="95"/>
        <v>1.4690206587658395E-3</v>
      </c>
      <c r="BX46" s="463">
        <f t="shared" si="45"/>
        <v>0</v>
      </c>
      <c r="BY46" s="463">
        <f t="shared" si="96"/>
        <v>5.9588637304348303E-2</v>
      </c>
      <c r="BZ46" s="463">
        <f t="shared" si="61"/>
        <v>5.2978645785412233E-2</v>
      </c>
      <c r="CA46" s="549">
        <f t="shared" si="97"/>
        <v>2.7042553191489356E-2</v>
      </c>
      <c r="CB46" s="147">
        <f t="shared" si="62"/>
        <v>86.631190495837657</v>
      </c>
      <c r="CC46" s="153">
        <f t="shared" si="63"/>
        <v>0.21736895251309532</v>
      </c>
      <c r="CD46" s="5">
        <f t="shared" si="64"/>
        <v>1.2709999999999999</v>
      </c>
      <c r="CE46" s="153">
        <f t="shared" si="65"/>
        <v>0.85395492687073982</v>
      </c>
      <c r="CF46" s="5">
        <f t="shared" si="66"/>
        <v>85.395492687073983</v>
      </c>
      <c r="CG46">
        <f t="shared" si="102"/>
        <v>41</v>
      </c>
      <c r="CI46" s="59">
        <f t="shared" si="98"/>
        <v>-50</v>
      </c>
      <c r="CJ46">
        <f t="shared" si="99"/>
        <v>-50</v>
      </c>
    </row>
    <row r="47" spans="5:88" x14ac:dyDescent="0.25">
      <c r="E47" s="150">
        <v>42</v>
      </c>
      <c r="F47" s="191">
        <f t="shared" si="103"/>
        <v>4.2000000000000003E-2</v>
      </c>
      <c r="G47" s="191">
        <f t="shared" si="100"/>
        <v>4.2000000000000003E-2</v>
      </c>
      <c r="H47" s="191">
        <f t="shared" si="70"/>
        <v>0.63</v>
      </c>
      <c r="I47" s="191">
        <f t="shared" si="104"/>
        <v>0.67200000000000004</v>
      </c>
      <c r="J47" s="472">
        <f t="shared" si="1"/>
        <v>15</v>
      </c>
      <c r="K47" s="386">
        <f t="shared" si="2"/>
        <v>15.32</v>
      </c>
      <c r="L47" s="386">
        <f t="shared" si="3"/>
        <v>30.32</v>
      </c>
      <c r="M47" s="386"/>
      <c r="N47" s="191">
        <f t="shared" si="4"/>
        <v>0.50527704485488123</v>
      </c>
      <c r="O47" s="152">
        <f t="shared" si="101"/>
        <v>1.237725019150566</v>
      </c>
      <c r="P47" s="152">
        <f t="shared" si="71"/>
        <v>2.7284960422163587</v>
      </c>
      <c r="Q47" s="191">
        <f t="shared" si="6"/>
        <v>8.25150012767044E-2</v>
      </c>
      <c r="R47" s="191">
        <f t="shared" si="72"/>
        <v>7.7357813696910374E-2</v>
      </c>
      <c r="S47" s="386">
        <f t="shared" si="73"/>
        <v>15</v>
      </c>
      <c r="T47" s="191">
        <f t="shared" si="74"/>
        <v>0.38174876704380628</v>
      </c>
      <c r="U47" s="191">
        <f t="shared" si="10"/>
        <v>1.1961461367372594</v>
      </c>
      <c r="V47" s="191">
        <f t="shared" si="11"/>
        <v>1.1711613610351759</v>
      </c>
      <c r="W47" s="175">
        <f t="shared" si="12"/>
        <v>350</v>
      </c>
      <c r="X47" s="386">
        <f t="shared" si="52"/>
        <v>350</v>
      </c>
      <c r="Z47" s="191">
        <f t="shared" si="13"/>
        <v>0.46073894667618365</v>
      </c>
      <c r="AA47" s="153">
        <f t="shared" si="14"/>
        <v>1.4134941575574826</v>
      </c>
      <c r="AB47" s="153">
        <f t="shared" si="75"/>
        <v>0.11396906662504547</v>
      </c>
      <c r="AC47" s="153"/>
      <c r="AD47" s="153">
        <f t="shared" si="16"/>
        <v>0.46018276762402083</v>
      </c>
      <c r="AE47" s="317">
        <f t="shared" si="76"/>
        <v>1216.9078014184402</v>
      </c>
      <c r="AF47" s="463">
        <f t="shared" si="77"/>
        <v>1.2079797650130546E-2</v>
      </c>
      <c r="AH47" s="153">
        <f t="shared" si="78"/>
        <v>0.39786665145551664</v>
      </c>
      <c r="AI47" s="153">
        <f t="shared" si="79"/>
        <v>0.39786665145551664</v>
      </c>
      <c r="AJ47" s="153">
        <f t="shared" si="80"/>
        <v>1.3836049270040864</v>
      </c>
      <c r="AL47" s="317">
        <f t="shared" si="81"/>
        <v>42</v>
      </c>
      <c r="AM47" s="147">
        <f t="shared" si="82"/>
        <v>350</v>
      </c>
      <c r="AO47">
        <f t="shared" si="53"/>
        <v>42</v>
      </c>
      <c r="AP47" s="147">
        <f t="shared" si="24"/>
        <v>350</v>
      </c>
      <c r="AQ47" s="147"/>
      <c r="AR47" s="5">
        <f t="shared" si="54"/>
        <v>2.8571428571428572</v>
      </c>
      <c r="AS47" s="5">
        <f t="shared" si="25"/>
        <v>1.2466488412272856</v>
      </c>
      <c r="AT47" s="5">
        <f t="shared" si="55"/>
        <v>1.6104940159155716</v>
      </c>
      <c r="AU47" s="153">
        <f t="shared" si="56"/>
        <v>0.43632709442954992</v>
      </c>
      <c r="AW47" s="5">
        <f t="shared" si="83"/>
        <v>0.96692791308641945</v>
      </c>
      <c r="AX47" s="5">
        <f t="shared" si="84"/>
        <v>2.6844912580266653</v>
      </c>
      <c r="AY47" s="5">
        <f t="shared" si="85"/>
        <v>0.96440494504700414</v>
      </c>
      <c r="AZ47" s="5">
        <f t="shared" si="86"/>
        <v>1.3212438713184838</v>
      </c>
      <c r="BA47" s="5">
        <f t="shared" si="87"/>
        <v>0.20709760086143947</v>
      </c>
      <c r="BB47" s="147">
        <f t="shared" si="88"/>
        <v>15.821653397941288</v>
      </c>
      <c r="BC47" s="5"/>
      <c r="BD47" s="153">
        <f t="shared" si="57"/>
        <v>0.15173403341887157</v>
      </c>
      <c r="BE47" s="153">
        <f t="shared" si="89"/>
        <v>0.17246083772627713</v>
      </c>
      <c r="BF47" s="153">
        <f t="shared" si="90"/>
        <v>0.17268627672984088</v>
      </c>
      <c r="BG47" s="153"/>
      <c r="BH47" s="463">
        <f t="shared" si="34"/>
        <v>8.0581259141457324E-3</v>
      </c>
      <c r="BI47" s="463">
        <f t="shared" si="35"/>
        <v>2.1110804526229716E-2</v>
      </c>
      <c r="BJ47" s="463">
        <f t="shared" si="36"/>
        <v>4.3749999999999995E-3</v>
      </c>
      <c r="BK47" s="463">
        <f t="shared" si="37"/>
        <v>1.6087792E-2</v>
      </c>
      <c r="BL47">
        <f t="shared" si="38"/>
        <v>4.3499999999999997E-3</v>
      </c>
      <c r="BM47">
        <f t="shared" si="91"/>
        <v>8.7499999999999992E-6</v>
      </c>
      <c r="BN47">
        <f t="shared" si="92"/>
        <v>5.5160327634478028E-2</v>
      </c>
      <c r="BO47" s="147">
        <f t="shared" si="58"/>
        <v>55.16032763447803</v>
      </c>
      <c r="BP47" s="153">
        <f t="shared" si="93"/>
        <v>3.8767453779626468E-2</v>
      </c>
      <c r="BQ47" s="153">
        <f t="shared" si="94"/>
        <v>3.882690033050281E-2</v>
      </c>
      <c r="BR47" s="463"/>
      <c r="BT47" s="147">
        <f t="shared" si="59"/>
        <v>77.594354110129274</v>
      </c>
      <c r="BU47" s="463">
        <f t="shared" si="43"/>
        <v>2.3023216897559234E-2</v>
      </c>
      <c r="BV47" s="463">
        <f t="shared" si="60"/>
        <v>2.9742740549249292E-2</v>
      </c>
      <c r="BW47" s="463">
        <f t="shared" si="95"/>
        <v>1.4910275085407594E-3</v>
      </c>
      <c r="BX47" s="463">
        <f t="shared" si="45"/>
        <v>0</v>
      </c>
      <c r="BY47" s="463">
        <f t="shared" si="96"/>
        <v>6.103273934361924E-2</v>
      </c>
      <c r="BZ47" s="463">
        <f t="shared" si="61"/>
        <v>5.425698495534928E-2</v>
      </c>
      <c r="CA47" s="549">
        <f t="shared" si="97"/>
        <v>2.7702127659574478E-2</v>
      </c>
      <c r="CB47" s="147">
        <f t="shared" si="62"/>
        <v>88.734867003193713</v>
      </c>
      <c r="CC47" s="153">
        <f t="shared" si="63"/>
        <v>0.22148954874780102</v>
      </c>
      <c r="CD47" s="5">
        <f t="shared" si="64"/>
        <v>1.302</v>
      </c>
      <c r="CE47" s="153">
        <f t="shared" si="65"/>
        <v>0.8546169555742279</v>
      </c>
      <c r="CF47" s="5">
        <f t="shared" si="66"/>
        <v>85.461695557422786</v>
      </c>
      <c r="CG47">
        <f t="shared" si="102"/>
        <v>42</v>
      </c>
      <c r="CI47" s="59">
        <f t="shared" si="98"/>
        <v>-50</v>
      </c>
      <c r="CJ47">
        <f t="shared" si="99"/>
        <v>-50</v>
      </c>
    </row>
    <row r="48" spans="5:88" x14ac:dyDescent="0.25">
      <c r="E48" s="150">
        <v>43</v>
      </c>
      <c r="F48" s="191">
        <f t="shared" si="103"/>
        <v>4.3000000000000003E-2</v>
      </c>
      <c r="G48" s="191">
        <f t="shared" si="100"/>
        <v>4.3000000000000003E-2</v>
      </c>
      <c r="H48" s="191">
        <f t="shared" si="70"/>
        <v>0.64500000000000002</v>
      </c>
      <c r="I48" s="191">
        <f t="shared" si="104"/>
        <v>0.68800000000000006</v>
      </c>
      <c r="J48" s="472">
        <f t="shared" si="1"/>
        <v>15</v>
      </c>
      <c r="K48" s="386">
        <f t="shared" si="2"/>
        <v>15.32</v>
      </c>
      <c r="L48" s="386">
        <f t="shared" si="3"/>
        <v>30.32</v>
      </c>
      <c r="M48" s="386"/>
      <c r="N48" s="191">
        <f t="shared" si="4"/>
        <v>0.50527704485488123</v>
      </c>
      <c r="O48" s="152">
        <f t="shared" si="101"/>
        <v>1.237725019150566</v>
      </c>
      <c r="P48" s="152">
        <f t="shared" si="71"/>
        <v>2.7284960422163587</v>
      </c>
      <c r="Q48" s="191">
        <f t="shared" si="6"/>
        <v>8.25150012767044E-2</v>
      </c>
      <c r="R48" s="191">
        <f t="shared" si="72"/>
        <v>7.7357813696910374E-2</v>
      </c>
      <c r="S48" s="386">
        <f t="shared" si="73"/>
        <v>15</v>
      </c>
      <c r="T48" s="191">
        <f t="shared" si="74"/>
        <v>0.39083802340199214</v>
      </c>
      <c r="U48" s="191">
        <f t="shared" si="10"/>
        <v>1.2246258066595754</v>
      </c>
      <c r="V48" s="191">
        <f t="shared" si="11"/>
        <v>1.1990461553455372</v>
      </c>
      <c r="W48" s="175">
        <f t="shared" si="12"/>
        <v>350</v>
      </c>
      <c r="X48" s="386">
        <f t="shared" si="52"/>
        <v>350</v>
      </c>
      <c r="Z48" s="191">
        <f t="shared" si="13"/>
        <v>0.46073894667618365</v>
      </c>
      <c r="AA48" s="153">
        <f t="shared" si="14"/>
        <v>1.4134941575574826</v>
      </c>
      <c r="AB48" s="153">
        <f t="shared" si="75"/>
        <v>0.11396906662504547</v>
      </c>
      <c r="AC48" s="153"/>
      <c r="AD48" s="153">
        <f t="shared" si="16"/>
        <v>0.46018276762402083</v>
      </c>
      <c r="AE48" s="317">
        <f t="shared" si="76"/>
        <v>1245.8817966903077</v>
      </c>
      <c r="AF48" s="463">
        <f t="shared" si="77"/>
        <v>1.2079797650130546E-2</v>
      </c>
      <c r="AH48" s="153">
        <f t="shared" si="78"/>
        <v>0.40257529643647022</v>
      </c>
      <c r="AI48" s="153">
        <f t="shared" si="79"/>
        <v>0.40257529643647022</v>
      </c>
      <c r="AJ48" s="153">
        <f t="shared" si="80"/>
        <v>1.3870928121751631</v>
      </c>
      <c r="AL48" s="317">
        <f t="shared" si="81"/>
        <v>43</v>
      </c>
      <c r="AM48" s="147">
        <f t="shared" si="82"/>
        <v>350</v>
      </c>
      <c r="AO48">
        <f t="shared" si="53"/>
        <v>43</v>
      </c>
      <c r="AP48" s="147">
        <f t="shared" si="24"/>
        <v>350</v>
      </c>
      <c r="AQ48" s="147"/>
      <c r="AR48" s="5">
        <f t="shared" si="54"/>
        <v>2.8571428571428572</v>
      </c>
      <c r="AS48" s="5">
        <f t="shared" si="25"/>
        <v>1.26140259550094</v>
      </c>
      <c r="AT48" s="5">
        <f t="shared" si="55"/>
        <v>1.5957402616419172</v>
      </c>
      <c r="AU48" s="153">
        <f t="shared" si="56"/>
        <v>0.44149090842532901</v>
      </c>
      <c r="AW48" s="5">
        <f t="shared" si="83"/>
        <v>0.96692791308641945</v>
      </c>
      <c r="AX48" s="5">
        <f t="shared" si="84"/>
        <v>2.8107745669451845</v>
      </c>
      <c r="AY48" s="5">
        <f t="shared" si="85"/>
        <v>0.96440494504700414</v>
      </c>
      <c r="AZ48" s="5">
        <f t="shared" si="86"/>
        <v>1.3828616315577533</v>
      </c>
      <c r="BA48" s="5">
        <f t="shared" si="87"/>
        <v>0.21008610061912847</v>
      </c>
      <c r="BB48" s="147">
        <f t="shared" si="88"/>
        <v>16.052679768656859</v>
      </c>
      <c r="BC48" s="5"/>
      <c r="BD48" s="153">
        <f t="shared" si="57"/>
        <v>0.15443558457957873</v>
      </c>
      <c r="BE48" s="153">
        <f t="shared" si="89"/>
        <v>0.17370071957978298</v>
      </c>
      <c r="BF48" s="153">
        <f t="shared" si="90"/>
        <v>0.17392777934393958</v>
      </c>
      <c r="BG48" s="153"/>
      <c r="BH48" s="463">
        <f t="shared" si="34"/>
        <v>8.347622424552675E-3</v>
      </c>
      <c r="BI48" s="463">
        <f t="shared" si="35"/>
        <v>2.1360645228919114E-2</v>
      </c>
      <c r="BJ48" s="463">
        <f t="shared" si="36"/>
        <v>4.3749999999999995E-3</v>
      </c>
      <c r="BK48" s="463">
        <f t="shared" si="37"/>
        <v>1.6087792E-2</v>
      </c>
      <c r="BL48">
        <f t="shared" si="38"/>
        <v>4.3499999999999997E-3</v>
      </c>
      <c r="BM48">
        <f t="shared" si="91"/>
        <v>8.7499999999999992E-6</v>
      </c>
      <c r="BN48">
        <f t="shared" si="92"/>
        <v>5.5742589868980494E-2</v>
      </c>
      <c r="BO48" s="147">
        <f t="shared" si="58"/>
        <v>55.742589868980495</v>
      </c>
      <c r="BP48" s="153">
        <f t="shared" si="93"/>
        <v>3.9477362146656286E-2</v>
      </c>
      <c r="BQ48" s="153">
        <f t="shared" si="94"/>
        <v>3.9537666534620805E-2</v>
      </c>
      <c r="BR48" s="463"/>
      <c r="BT48" s="147">
        <f t="shared" si="59"/>
        <v>79.015028681277087</v>
      </c>
      <c r="BU48" s="463">
        <f t="shared" si="43"/>
        <v>2.3850349784436217E-2</v>
      </c>
      <c r="BV48" s="463">
        <f t="shared" si="60"/>
        <v>3.0171939982534399E-2</v>
      </c>
      <c r="BW48" s="463">
        <f t="shared" si="95"/>
        <v>1.5125436213757068E-3</v>
      </c>
      <c r="BX48" s="463">
        <f t="shared" si="45"/>
        <v>0</v>
      </c>
      <c r="BY48" s="463">
        <f t="shared" si="96"/>
        <v>6.24765835274977E-2</v>
      </c>
      <c r="BZ48" s="463">
        <f t="shared" si="61"/>
        <v>5.5534833388346319E-2</v>
      </c>
      <c r="CA48" s="549">
        <f t="shared" si="97"/>
        <v>2.8361702127659587E-2</v>
      </c>
      <c r="CB48" s="147">
        <f t="shared" si="62"/>
        <v>90.838285655157279</v>
      </c>
      <c r="CC48" s="153">
        <f t="shared" si="63"/>
        <v>0.22559590420541487</v>
      </c>
      <c r="CD48" s="5">
        <f t="shared" si="64"/>
        <v>1.3330000000000002</v>
      </c>
      <c r="CE48" s="153">
        <f t="shared" si="65"/>
        <v>0.85525696327270573</v>
      </c>
      <c r="CF48" s="5">
        <f t="shared" si="66"/>
        <v>85.525696327270566</v>
      </c>
      <c r="CG48">
        <f t="shared" si="102"/>
        <v>43</v>
      </c>
      <c r="CI48" s="59">
        <f t="shared" si="98"/>
        <v>-50</v>
      </c>
      <c r="CJ48">
        <f t="shared" si="99"/>
        <v>-50</v>
      </c>
    </row>
    <row r="49" spans="5:88" x14ac:dyDescent="0.25">
      <c r="E49" s="150">
        <v>44</v>
      </c>
      <c r="F49" s="191">
        <f t="shared" si="103"/>
        <v>4.4000000000000004E-2</v>
      </c>
      <c r="G49" s="191">
        <f t="shared" si="100"/>
        <v>4.4000000000000004E-2</v>
      </c>
      <c r="H49" s="191">
        <f t="shared" si="70"/>
        <v>0.66</v>
      </c>
      <c r="I49" s="191">
        <f t="shared" si="104"/>
        <v>0.70400000000000007</v>
      </c>
      <c r="J49" s="472">
        <f t="shared" si="1"/>
        <v>15</v>
      </c>
      <c r="K49" s="386">
        <f t="shared" si="2"/>
        <v>15.32</v>
      </c>
      <c r="L49" s="386">
        <f t="shared" si="3"/>
        <v>30.32</v>
      </c>
      <c r="M49" s="386"/>
      <c r="N49" s="191">
        <f t="shared" si="4"/>
        <v>0.50527704485488123</v>
      </c>
      <c r="O49" s="152">
        <f t="shared" si="101"/>
        <v>1.237725019150566</v>
      </c>
      <c r="P49" s="152">
        <f t="shared" si="71"/>
        <v>2.7284960422163587</v>
      </c>
      <c r="Q49" s="191">
        <f t="shared" si="6"/>
        <v>8.25150012767044E-2</v>
      </c>
      <c r="R49" s="191">
        <f t="shared" si="72"/>
        <v>7.7357813696910374E-2</v>
      </c>
      <c r="S49" s="386">
        <f t="shared" si="73"/>
        <v>15</v>
      </c>
      <c r="T49" s="191">
        <f t="shared" si="74"/>
        <v>0.399927279760178</v>
      </c>
      <c r="U49" s="191">
        <f t="shared" si="10"/>
        <v>1.253105476581891</v>
      </c>
      <c r="V49" s="191">
        <f t="shared" si="11"/>
        <v>1.2269309496558984</v>
      </c>
      <c r="W49" s="175">
        <f t="shared" si="12"/>
        <v>350</v>
      </c>
      <c r="X49" s="386">
        <f t="shared" si="52"/>
        <v>350</v>
      </c>
      <c r="Z49" s="191">
        <f t="shared" si="13"/>
        <v>0.46073894667618365</v>
      </c>
      <c r="AA49" s="153">
        <f t="shared" si="14"/>
        <v>1.4134941575574826</v>
      </c>
      <c r="AB49" s="153">
        <f t="shared" si="75"/>
        <v>0.11396906662504547</v>
      </c>
      <c r="AC49" s="153"/>
      <c r="AD49" s="153">
        <f t="shared" si="16"/>
        <v>0.46018276762402083</v>
      </c>
      <c r="AE49" s="317">
        <f t="shared" si="76"/>
        <v>1274.8557919621753</v>
      </c>
      <c r="AF49" s="463">
        <f t="shared" si="77"/>
        <v>1.2079797650130546E-2</v>
      </c>
      <c r="AH49" s="153">
        <f t="shared" si="78"/>
        <v>0.40722950072581704</v>
      </c>
      <c r="AI49" s="153">
        <f t="shared" si="79"/>
        <v>0.40722950072581704</v>
      </c>
      <c r="AJ49" s="153">
        <f t="shared" si="80"/>
        <v>1.3905403709080126</v>
      </c>
      <c r="AL49" s="317">
        <f t="shared" si="81"/>
        <v>44.000000000000007</v>
      </c>
      <c r="AM49" s="147">
        <f t="shared" si="82"/>
        <v>350</v>
      </c>
      <c r="AO49">
        <f t="shared" si="53"/>
        <v>44.000000000000007</v>
      </c>
      <c r="AP49" s="147">
        <f t="shared" si="24"/>
        <v>350</v>
      </c>
      <c r="AQ49" s="147"/>
      <c r="AR49" s="5">
        <f t="shared" si="54"/>
        <v>2.8571428571428572</v>
      </c>
      <c r="AS49" s="5">
        <f t="shared" si="25"/>
        <v>1.2759857689408933</v>
      </c>
      <c r="AT49" s="5">
        <f t="shared" si="55"/>
        <v>1.5811570882019639</v>
      </c>
      <c r="AU49" s="153">
        <f t="shared" si="56"/>
        <v>0.44659501912931265</v>
      </c>
      <c r="AW49" s="5">
        <f t="shared" si="83"/>
        <v>0.96692791308641945</v>
      </c>
      <c r="AX49" s="5">
        <f t="shared" si="84"/>
        <v>2.9399586596029628</v>
      </c>
      <c r="AY49" s="5">
        <f t="shared" si="85"/>
        <v>0.96440494504700414</v>
      </c>
      <c r="AZ49" s="5">
        <f t="shared" si="86"/>
        <v>1.445882162626182</v>
      </c>
      <c r="BA49" s="5">
        <f t="shared" si="87"/>
        <v>0.21300723637604727</v>
      </c>
      <c r="BB49" s="147">
        <f t="shared" si="88"/>
        <v>16.278653839314657</v>
      </c>
      <c r="BC49" s="5"/>
      <c r="BD49" s="153">
        <f t="shared" si="57"/>
        <v>0.15712147303422624</v>
      </c>
      <c r="BE49" s="153">
        <f t="shared" si="89"/>
        <v>0.17490415889477198</v>
      </c>
      <c r="BF49" s="153">
        <f t="shared" si="90"/>
        <v>0.17513279178221614</v>
      </c>
      <c r="BG49" s="153"/>
      <c r="BH49" s="463">
        <f t="shared" si="34"/>
        <v>8.6405050509557792E-3</v>
      </c>
      <c r="BI49" s="463">
        <f t="shared" si="35"/>
        <v>2.1607597308511854E-2</v>
      </c>
      <c r="BJ49" s="463">
        <f t="shared" si="36"/>
        <v>4.3749999999999995E-3</v>
      </c>
      <c r="BK49" s="463">
        <f t="shared" si="37"/>
        <v>1.6087792E-2</v>
      </c>
      <c r="BL49">
        <f t="shared" si="38"/>
        <v>4.3499999999999997E-3</v>
      </c>
      <c r="BM49">
        <f t="shared" si="91"/>
        <v>8.7499999999999992E-6</v>
      </c>
      <c r="BN49">
        <f t="shared" si="92"/>
        <v>5.6325905789803073E-2</v>
      </c>
      <c r="BO49" s="147">
        <f t="shared" si="58"/>
        <v>56.325905789803073</v>
      </c>
      <c r="BP49" s="153">
        <f t="shared" si="93"/>
        <v>4.0179879106197365E-2</v>
      </c>
      <c r="BQ49" s="153">
        <f t="shared" si="94"/>
        <v>4.0241021994678869E-2</v>
      </c>
      <c r="BR49" s="463"/>
      <c r="BT49" s="147">
        <f t="shared" si="59"/>
        <v>80.420901100876236</v>
      </c>
      <c r="BU49" s="463">
        <f t="shared" si="43"/>
        <v>2.4687157288445085E-2</v>
      </c>
      <c r="BV49" s="463">
        <f t="shared" si="60"/>
        <v>3.0591464798687646E-2</v>
      </c>
      <c r="BW49" s="463">
        <f t="shared" si="95"/>
        <v>1.5335747378716538E-3</v>
      </c>
      <c r="BX49" s="463">
        <f t="shared" si="45"/>
        <v>0</v>
      </c>
      <c r="BY49" s="463">
        <f t="shared" si="96"/>
        <v>6.3920176094032374E-2</v>
      </c>
      <c r="BZ49" s="463">
        <f t="shared" si="61"/>
        <v>5.6812196825004387E-2</v>
      </c>
      <c r="CA49" s="549">
        <f t="shared" si="97"/>
        <v>2.9021276595744688E-2</v>
      </c>
      <c r="CB49" s="147">
        <f t="shared" si="62"/>
        <v>92.941452689777066</v>
      </c>
      <c r="CC49" s="153">
        <f t="shared" si="63"/>
        <v>0.22968825958045638</v>
      </c>
      <c r="CD49" s="5">
        <f t="shared" si="64"/>
        <v>1.3640000000000001</v>
      </c>
      <c r="CE49" s="153">
        <f t="shared" si="65"/>
        <v>0.85587629312088764</v>
      </c>
      <c r="CF49" s="5">
        <f t="shared" si="66"/>
        <v>85.587629312088765</v>
      </c>
      <c r="CG49">
        <f t="shared" si="102"/>
        <v>44</v>
      </c>
      <c r="CI49" s="59">
        <f t="shared" si="98"/>
        <v>-50</v>
      </c>
      <c r="CJ49">
        <f t="shared" si="99"/>
        <v>-50</v>
      </c>
    </row>
    <row r="50" spans="5:88" x14ac:dyDescent="0.25">
      <c r="E50" s="150">
        <v>45</v>
      </c>
      <c r="F50" s="191">
        <f t="shared" si="103"/>
        <v>4.5000000000000005E-2</v>
      </c>
      <c r="G50" s="191">
        <f t="shared" si="100"/>
        <v>4.5000000000000005E-2</v>
      </c>
      <c r="H50" s="191">
        <f t="shared" si="70"/>
        <v>0.67500000000000004</v>
      </c>
      <c r="I50" s="191">
        <f t="shared" si="104"/>
        <v>0.72000000000000008</v>
      </c>
      <c r="J50" s="472">
        <f t="shared" si="1"/>
        <v>15</v>
      </c>
      <c r="K50" s="386">
        <f t="shared" si="2"/>
        <v>15.32</v>
      </c>
      <c r="L50" s="386">
        <f t="shared" si="3"/>
        <v>30.32</v>
      </c>
      <c r="M50" s="386"/>
      <c r="N50" s="191">
        <f t="shared" si="4"/>
        <v>0.50527704485488123</v>
      </c>
      <c r="O50" s="152">
        <f t="shared" si="101"/>
        <v>1.237725019150566</v>
      </c>
      <c r="P50" s="152">
        <f t="shared" si="71"/>
        <v>2.7284960422163587</v>
      </c>
      <c r="Q50" s="191">
        <f t="shared" si="6"/>
        <v>8.25150012767044E-2</v>
      </c>
      <c r="R50" s="191">
        <f t="shared" si="72"/>
        <v>7.7357813696910374E-2</v>
      </c>
      <c r="S50" s="386">
        <f t="shared" si="73"/>
        <v>15</v>
      </c>
      <c r="T50" s="191">
        <f t="shared" si="74"/>
        <v>0.40901653611836386</v>
      </c>
      <c r="U50" s="191">
        <f t="shared" si="10"/>
        <v>1.2815851465042067</v>
      </c>
      <c r="V50" s="191">
        <f t="shared" si="11"/>
        <v>1.2548157439662599</v>
      </c>
      <c r="W50" s="175">
        <f t="shared" si="12"/>
        <v>350</v>
      </c>
      <c r="X50" s="386">
        <f t="shared" si="52"/>
        <v>350</v>
      </c>
      <c r="Z50" s="191">
        <f t="shared" si="13"/>
        <v>0.46073894667618365</v>
      </c>
      <c r="AA50" s="153">
        <f t="shared" si="14"/>
        <v>1.4134941575574826</v>
      </c>
      <c r="AB50" s="153">
        <f t="shared" si="75"/>
        <v>0.11396906662504547</v>
      </c>
      <c r="AC50" s="153"/>
      <c r="AD50" s="153">
        <f t="shared" si="16"/>
        <v>0.46018276762402083</v>
      </c>
      <c r="AE50" s="317">
        <f t="shared" si="76"/>
        <v>1303.8297872340429</v>
      </c>
      <c r="AF50" s="463">
        <f t="shared" si="77"/>
        <v>1.2079797650130546E-2</v>
      </c>
      <c r="AH50" s="153">
        <f t="shared" si="78"/>
        <v>0.41183111007048084</v>
      </c>
      <c r="AI50" s="153">
        <f t="shared" si="79"/>
        <v>0.41183111007048084</v>
      </c>
      <c r="AJ50" s="153">
        <f t="shared" si="80"/>
        <v>1.3939489704225783</v>
      </c>
      <c r="AL50" s="317">
        <f t="shared" si="81"/>
        <v>45.000000000000007</v>
      </c>
      <c r="AM50" s="147">
        <f t="shared" si="82"/>
        <v>350</v>
      </c>
      <c r="AO50">
        <f t="shared" si="53"/>
        <v>45.000000000000007</v>
      </c>
      <c r="AP50" s="147">
        <f t="shared" si="24"/>
        <v>350</v>
      </c>
      <c r="AQ50" s="147"/>
      <c r="AR50" s="5">
        <f t="shared" si="54"/>
        <v>2.8571428571428572</v>
      </c>
      <c r="AS50" s="5">
        <f t="shared" si="25"/>
        <v>1.2904041448875068</v>
      </c>
      <c r="AT50" s="5">
        <f t="shared" si="55"/>
        <v>1.5667387122553504</v>
      </c>
      <c r="AU50" s="153">
        <f t="shared" si="56"/>
        <v>0.45164145071062733</v>
      </c>
      <c r="AW50" s="5">
        <f t="shared" si="83"/>
        <v>0.96692791308641945</v>
      </c>
      <c r="AX50" s="5">
        <f t="shared" si="84"/>
        <v>3.0720435359999989</v>
      </c>
      <c r="AY50" s="5">
        <f t="shared" si="85"/>
        <v>0.96440494504700414</v>
      </c>
      <c r="AZ50" s="5">
        <f t="shared" si="86"/>
        <v>1.5103054645237697</v>
      </c>
      <c r="BA50" s="5">
        <f t="shared" si="87"/>
        <v>0.2158617781329594</v>
      </c>
      <c r="BB50" s="147">
        <f t="shared" si="88"/>
        <v>16.499633359971959</v>
      </c>
      <c r="BC50" s="5"/>
      <c r="BD50" s="153">
        <f t="shared" si="57"/>
        <v>0.15979214256142202</v>
      </c>
      <c r="BE50" s="153">
        <f t="shared" si="89"/>
        <v>0.17607221695351322</v>
      </c>
      <c r="BF50" s="153">
        <f t="shared" si="90"/>
        <v>0.17630237671423676</v>
      </c>
      <c r="BG50" s="153"/>
      <c r="BH50" s="463">
        <f t="shared" si="34"/>
        <v>8.9367350885294367E-3</v>
      </c>
      <c r="BI50" s="463">
        <f t="shared" si="35"/>
        <v>2.1851758700339716E-2</v>
      </c>
      <c r="BJ50" s="463">
        <f t="shared" si="36"/>
        <v>4.3749999999999995E-3</v>
      </c>
      <c r="BK50" s="463">
        <f t="shared" si="37"/>
        <v>1.6087792E-2</v>
      </c>
      <c r="BL50">
        <f t="shared" si="38"/>
        <v>4.3499999999999997E-3</v>
      </c>
      <c r="BM50">
        <f t="shared" si="91"/>
        <v>8.7499999999999992E-6</v>
      </c>
      <c r="BN50">
        <f t="shared" si="92"/>
        <v>5.6910330350584175E-2</v>
      </c>
      <c r="BO50" s="147">
        <f t="shared" si="58"/>
        <v>56.910330350584175</v>
      </c>
      <c r="BP50" s="153">
        <f t="shared" si="93"/>
        <v>4.0875089145354718E-2</v>
      </c>
      <c r="BQ50" s="153">
        <f t="shared" si="94"/>
        <v>4.0937051418807734E-2</v>
      </c>
      <c r="BR50" s="463"/>
      <c r="BT50" s="147">
        <f t="shared" si="59"/>
        <v>81.812140564162448</v>
      </c>
      <c r="BU50" s="463">
        <f t="shared" si="43"/>
        <v>2.5533528824369819E-2</v>
      </c>
      <c r="BV50" s="463">
        <f t="shared" si="60"/>
        <v>3.1001425582925027E-2</v>
      </c>
      <c r="BW50" s="463">
        <f t="shared" si="95"/>
        <v>1.5541264017544327E-3</v>
      </c>
      <c r="BX50" s="463">
        <f t="shared" si="45"/>
        <v>0</v>
      </c>
      <c r="BY50" s="463">
        <f t="shared" si="96"/>
        <v>6.5363523063993484E-2</v>
      </c>
      <c r="BZ50" s="463">
        <f t="shared" si="61"/>
        <v>5.808908080904928E-2</v>
      </c>
      <c r="CA50" s="549">
        <f t="shared" si="97"/>
        <v>2.9680851063829793E-2</v>
      </c>
      <c r="CB50" s="147">
        <f t="shared" si="62"/>
        <v>95.044374127823275</v>
      </c>
      <c r="CC50" s="153">
        <f t="shared" si="63"/>
        <v>0.23376684504256989</v>
      </c>
      <c r="CD50" s="5">
        <f t="shared" si="64"/>
        <v>1.395</v>
      </c>
      <c r="CE50" s="153">
        <f t="shared" si="65"/>
        <v>0.85647617659084896</v>
      </c>
      <c r="CF50" s="5">
        <f t="shared" si="66"/>
        <v>85.647617659084901</v>
      </c>
      <c r="CG50">
        <f t="shared" si="102"/>
        <v>45</v>
      </c>
      <c r="CI50" s="59">
        <f t="shared" si="98"/>
        <v>-50</v>
      </c>
      <c r="CJ50">
        <f t="shared" si="99"/>
        <v>-50</v>
      </c>
    </row>
    <row r="51" spans="5:88" x14ac:dyDescent="0.25">
      <c r="E51" s="150">
        <v>46</v>
      </c>
      <c r="F51" s="191">
        <f t="shared" si="103"/>
        <v>4.6000000000000006E-2</v>
      </c>
      <c r="G51" s="191">
        <f t="shared" si="100"/>
        <v>4.6000000000000006E-2</v>
      </c>
      <c r="H51" s="191">
        <f t="shared" si="70"/>
        <v>0.69000000000000006</v>
      </c>
      <c r="I51" s="191">
        <f t="shared" si="104"/>
        <v>0.7360000000000001</v>
      </c>
      <c r="J51" s="472">
        <f t="shared" si="1"/>
        <v>15</v>
      </c>
      <c r="K51" s="386">
        <f t="shared" si="2"/>
        <v>15.32</v>
      </c>
      <c r="L51" s="386">
        <f t="shared" si="3"/>
        <v>30.32</v>
      </c>
      <c r="M51" s="386"/>
      <c r="N51" s="191">
        <f t="shared" si="4"/>
        <v>0.50527704485488123</v>
      </c>
      <c r="O51" s="152">
        <f t="shared" si="101"/>
        <v>1.237725019150566</v>
      </c>
      <c r="P51" s="152">
        <f t="shared" si="71"/>
        <v>2.7284960422163587</v>
      </c>
      <c r="Q51" s="191">
        <f t="shared" si="6"/>
        <v>8.25150012767044E-2</v>
      </c>
      <c r="R51" s="191">
        <f t="shared" si="72"/>
        <v>7.7357813696910374E-2</v>
      </c>
      <c r="S51" s="386">
        <f t="shared" si="73"/>
        <v>15</v>
      </c>
      <c r="T51" s="191">
        <f t="shared" si="74"/>
        <v>0.41810579247654972</v>
      </c>
      <c r="U51" s="191">
        <f t="shared" si="10"/>
        <v>1.3100648164265223</v>
      </c>
      <c r="V51" s="191">
        <f t="shared" si="11"/>
        <v>1.2827005382766212</v>
      </c>
      <c r="W51" s="175">
        <f t="shared" si="12"/>
        <v>350</v>
      </c>
      <c r="X51" s="386">
        <f t="shared" si="52"/>
        <v>350</v>
      </c>
      <c r="Z51" s="191">
        <f t="shared" si="13"/>
        <v>0.46073894667618365</v>
      </c>
      <c r="AA51" s="153">
        <f t="shared" si="14"/>
        <v>1.4134941575574826</v>
      </c>
      <c r="AB51" s="153">
        <f t="shared" si="75"/>
        <v>0.11396906662504547</v>
      </c>
      <c r="AC51" s="153"/>
      <c r="AD51" s="153">
        <f t="shared" si="16"/>
        <v>0.46018276762402083</v>
      </c>
      <c r="AE51" s="317">
        <f t="shared" si="76"/>
        <v>1332.8037825059107</v>
      </c>
      <c r="AF51" s="463">
        <f t="shared" si="77"/>
        <v>1.2079797650130546E-2</v>
      </c>
      <c r="AH51" s="153">
        <f t="shared" si="78"/>
        <v>0.41638186821999207</v>
      </c>
      <c r="AI51" s="153">
        <f t="shared" si="79"/>
        <v>0.41638186821999207</v>
      </c>
      <c r="AJ51" s="153">
        <f t="shared" si="80"/>
        <v>1.3973199023851792</v>
      </c>
      <c r="AL51" s="317">
        <f t="shared" si="81"/>
        <v>46.000000000000007</v>
      </c>
      <c r="AM51" s="147">
        <f t="shared" si="82"/>
        <v>350</v>
      </c>
      <c r="AO51">
        <f t="shared" si="53"/>
        <v>46.000000000000007</v>
      </c>
      <c r="AP51" s="147">
        <f t="shared" si="24"/>
        <v>350</v>
      </c>
      <c r="AQ51" s="147"/>
      <c r="AR51" s="5">
        <f t="shared" si="54"/>
        <v>2.8571428571428572</v>
      </c>
      <c r="AS51" s="5">
        <f t="shared" si="25"/>
        <v>1.3046631870893084</v>
      </c>
      <c r="AT51" s="5">
        <f t="shared" si="55"/>
        <v>1.5524796700535488</v>
      </c>
      <c r="AU51" s="153">
        <f t="shared" si="56"/>
        <v>0.45663211548125793</v>
      </c>
      <c r="AW51" s="5">
        <f t="shared" si="83"/>
        <v>0.96692791308641945</v>
      </c>
      <c r="AX51" s="5">
        <f t="shared" si="84"/>
        <v>3.2070291961362956</v>
      </c>
      <c r="AY51" s="5">
        <f t="shared" si="85"/>
        <v>0.96440494504700414</v>
      </c>
      <c r="AZ51" s="5">
        <f t="shared" si="86"/>
        <v>1.5761315372505169</v>
      </c>
      <c r="BA51" s="5">
        <f t="shared" si="87"/>
        <v>0.21865047007371466</v>
      </c>
      <c r="BB51" s="147">
        <f t="shared" si="88"/>
        <v>16.715674144417484</v>
      </c>
      <c r="BC51" s="5"/>
      <c r="BD51" s="153">
        <f t="shared" si="57"/>
        <v>0.16244801480702253</v>
      </c>
      <c r="BE51" s="153">
        <f t="shared" si="89"/>
        <v>0.17720589497168074</v>
      </c>
      <c r="BF51" s="153">
        <f t="shared" si="90"/>
        <v>0.17743753666445417</v>
      </c>
      <c r="BG51" s="153"/>
      <c r="BH51" s="463">
        <f t="shared" si="34"/>
        <v>9.2362751301599127E-3</v>
      </c>
      <c r="BI51" s="463">
        <f t="shared" si="35"/>
        <v>2.2093221927752781E-2</v>
      </c>
      <c r="BJ51" s="463">
        <f t="shared" si="36"/>
        <v>4.3749999999999995E-3</v>
      </c>
      <c r="BK51" s="463">
        <f t="shared" si="37"/>
        <v>1.6087792E-2</v>
      </c>
      <c r="BL51">
        <f t="shared" si="38"/>
        <v>4.3499999999999997E-3</v>
      </c>
      <c r="BM51">
        <f t="shared" si="91"/>
        <v>8.7499999999999992E-6</v>
      </c>
      <c r="BN51">
        <f t="shared" si="92"/>
        <v>5.7495914572323642E-2</v>
      </c>
      <c r="BO51" s="147">
        <f t="shared" si="58"/>
        <v>57.495914572323642</v>
      </c>
      <c r="BP51" s="153">
        <f t="shared" si="93"/>
        <v>4.1563073918513771E-2</v>
      </c>
      <c r="BQ51" s="153">
        <f t="shared" si="94"/>
        <v>4.1625836675007834E-2</v>
      </c>
      <c r="BR51" s="463"/>
      <c r="BT51" s="147">
        <f t="shared" si="59"/>
        <v>83.188910593521598</v>
      </c>
      <c r="BU51" s="463">
        <f t="shared" si="43"/>
        <v>2.6389357514742612E-2</v>
      </c>
      <c r="BV51" s="463">
        <f t="shared" si="60"/>
        <v>3.1401929212714348E-2</v>
      </c>
      <c r="BW51" s="463">
        <f t="shared" si="95"/>
        <v>1.5742039708774758E-3</v>
      </c>
      <c r="BX51" s="463">
        <f t="shared" si="45"/>
        <v>0</v>
      </c>
      <c r="BY51" s="463">
        <f t="shared" si="96"/>
        <v>6.6806630253084712E-2</v>
      </c>
      <c r="BZ51" s="463">
        <f t="shared" si="61"/>
        <v>5.9365490698334439E-2</v>
      </c>
      <c r="CA51" s="549">
        <f t="shared" si="97"/>
        <v>3.0340425531914898E-2</v>
      </c>
      <c r="CB51" s="147">
        <f t="shared" si="62"/>
        <v>97.147055784999608</v>
      </c>
      <c r="CC51" s="153">
        <f t="shared" si="63"/>
        <v>0.23783188095084484</v>
      </c>
      <c r="CD51" s="5">
        <f t="shared" si="64"/>
        <v>1.4260000000000002</v>
      </c>
      <c r="CE51" s="153">
        <f t="shared" si="65"/>
        <v>0.85705774503195065</v>
      </c>
      <c r="CF51" s="5">
        <f t="shared" si="66"/>
        <v>85.705774503195059</v>
      </c>
      <c r="CG51">
        <f t="shared" si="102"/>
        <v>46</v>
      </c>
      <c r="CI51" s="59">
        <f t="shared" si="98"/>
        <v>-50</v>
      </c>
      <c r="CJ51">
        <f t="shared" si="99"/>
        <v>-50</v>
      </c>
    </row>
    <row r="52" spans="5:88" x14ac:dyDescent="0.25">
      <c r="E52" s="150">
        <v>47</v>
      </c>
      <c r="F52" s="191">
        <f t="shared" si="103"/>
        <v>4.7E-2</v>
      </c>
      <c r="G52" s="191">
        <f t="shared" si="100"/>
        <v>4.7E-2</v>
      </c>
      <c r="H52" s="191">
        <f t="shared" si="70"/>
        <v>0.70499999999999996</v>
      </c>
      <c r="I52" s="191">
        <f t="shared" si="104"/>
        <v>0.752</v>
      </c>
      <c r="J52" s="472">
        <f t="shared" si="1"/>
        <v>15</v>
      </c>
      <c r="K52" s="386">
        <f t="shared" si="2"/>
        <v>15.32</v>
      </c>
      <c r="L52" s="386">
        <f t="shared" si="3"/>
        <v>30.32</v>
      </c>
      <c r="M52" s="386"/>
      <c r="N52" s="191">
        <f t="shared" si="4"/>
        <v>0.50527704485488123</v>
      </c>
      <c r="O52" s="152">
        <f t="shared" si="101"/>
        <v>1.237725019150566</v>
      </c>
      <c r="P52" s="152">
        <f t="shared" si="71"/>
        <v>2.7284960422163587</v>
      </c>
      <c r="Q52" s="191">
        <f t="shared" si="6"/>
        <v>8.25150012767044E-2</v>
      </c>
      <c r="R52" s="191">
        <f t="shared" si="72"/>
        <v>7.7357813696910374E-2</v>
      </c>
      <c r="S52" s="386">
        <f t="shared" si="73"/>
        <v>15</v>
      </c>
      <c r="T52" s="191">
        <f t="shared" si="74"/>
        <v>0.42719504883473552</v>
      </c>
      <c r="U52" s="191">
        <f t="shared" si="10"/>
        <v>1.3385444863488378</v>
      </c>
      <c r="V52" s="191">
        <f t="shared" si="11"/>
        <v>1.3105853325869821</v>
      </c>
      <c r="W52" s="175">
        <f t="shared" si="12"/>
        <v>350</v>
      </c>
      <c r="X52" s="386">
        <f t="shared" si="52"/>
        <v>350</v>
      </c>
      <c r="Z52" s="191">
        <f t="shared" si="13"/>
        <v>0.46073894667618365</v>
      </c>
      <c r="AA52" s="153">
        <f t="shared" si="14"/>
        <v>1.4134941575574826</v>
      </c>
      <c r="AB52" s="153">
        <f t="shared" si="75"/>
        <v>0.11396906662504547</v>
      </c>
      <c r="AC52" s="153"/>
      <c r="AD52" s="153">
        <f t="shared" si="16"/>
        <v>0.46018276762402083</v>
      </c>
      <c r="AE52" s="317">
        <f t="shared" si="76"/>
        <v>1361.7777777777781</v>
      </c>
      <c r="AF52" s="463">
        <f t="shared" si="77"/>
        <v>1.2079797650130546E-2</v>
      </c>
      <c r="AH52" s="153">
        <f t="shared" si="78"/>
        <v>0.42088342464732098</v>
      </c>
      <c r="AI52" s="153">
        <f t="shared" si="79"/>
        <v>0.42088342464732098</v>
      </c>
      <c r="AJ52" s="153">
        <f t="shared" si="80"/>
        <v>1.400654388627645</v>
      </c>
      <c r="AL52" s="317">
        <f t="shared" si="81"/>
        <v>47</v>
      </c>
      <c r="AM52" s="147">
        <f t="shared" si="82"/>
        <v>350</v>
      </c>
      <c r="AO52">
        <f t="shared" si="53"/>
        <v>47</v>
      </c>
      <c r="AP52" s="147">
        <f t="shared" si="24"/>
        <v>350</v>
      </c>
      <c r="AQ52" s="147"/>
      <c r="AR52" s="5">
        <f t="shared" si="54"/>
        <v>2.8571428571428572</v>
      </c>
      <c r="AS52" s="5">
        <f t="shared" si="25"/>
        <v>1.3187680638949388</v>
      </c>
      <c r="AT52" s="5">
        <f t="shared" si="55"/>
        <v>1.5383747932479184</v>
      </c>
      <c r="AU52" s="153">
        <f t="shared" si="56"/>
        <v>0.4615688223632286</v>
      </c>
      <c r="AW52" s="5">
        <f t="shared" si="83"/>
        <v>0.96692791308641945</v>
      </c>
      <c r="AX52" s="5">
        <f t="shared" si="84"/>
        <v>3.34491564001185</v>
      </c>
      <c r="AY52" s="5">
        <f t="shared" si="85"/>
        <v>0.96440494504700414</v>
      </c>
      <c r="AZ52" s="5">
        <f t="shared" si="86"/>
        <v>1.6433603808064232</v>
      </c>
      <c r="BA52" s="5">
        <f t="shared" si="87"/>
        <v>0.22137403197651526</v>
      </c>
      <c r="BB52" s="147">
        <f t="shared" si="88"/>
        <v>16.92683017601642</v>
      </c>
      <c r="BC52" s="5"/>
      <c r="BD52" s="153">
        <f t="shared" si="57"/>
        <v>0.16508949084409361</v>
      </c>
      <c r="BE52" s="153">
        <f t="shared" si="89"/>
        <v>0.17830613859443251</v>
      </c>
      <c r="BF52" s="153">
        <f t="shared" si="90"/>
        <v>0.17853921851416379</v>
      </c>
      <c r="BG52" s="153"/>
      <c r="BH52" s="463">
        <f t="shared" si="34"/>
        <v>9.5390889955067216E-3</v>
      </c>
      <c r="BI52" s="463">
        <f t="shared" si="35"/>
        <v>2.2332074511786853E-2</v>
      </c>
      <c r="BJ52" s="463">
        <f t="shared" si="36"/>
        <v>4.3749999999999995E-3</v>
      </c>
      <c r="BK52" s="463">
        <f t="shared" si="37"/>
        <v>1.6087792E-2</v>
      </c>
      <c r="BL52">
        <f t="shared" si="38"/>
        <v>4.3499999999999997E-3</v>
      </c>
      <c r="BM52">
        <f t="shared" si="91"/>
        <v>8.7499999999999992E-6</v>
      </c>
      <c r="BN52">
        <f t="shared" si="92"/>
        <v>5.8082705872213522E-2</v>
      </c>
      <c r="BO52" s="147">
        <f t="shared" si="58"/>
        <v>58.082705872213523</v>
      </c>
      <c r="BP52" s="153">
        <f t="shared" si="93"/>
        <v>4.2243912402189131E-2</v>
      </c>
      <c r="BQ52" s="153">
        <f t="shared" si="94"/>
        <v>4.2307456946403324E-2</v>
      </c>
      <c r="BR52" s="463"/>
      <c r="BT52" s="147">
        <f t="shared" si="59"/>
        <v>84.551369348592445</v>
      </c>
      <c r="BU52" s="463">
        <f t="shared" si="43"/>
        <v>2.7254539987162065E-2</v>
      </c>
      <c r="BV52" s="463">
        <f t="shared" si="60"/>
        <v>3.1793079060456975E-2</v>
      </c>
      <c r="BW52" s="463">
        <f t="shared" si="95"/>
        <v>1.5938126273824166E-3</v>
      </c>
      <c r="BX52" s="463">
        <f t="shared" si="45"/>
        <v>0</v>
      </c>
      <c r="BY52" s="463">
        <f t="shared" si="96"/>
        <v>6.8249503283217799E-2</v>
      </c>
      <c r="BZ52" s="463">
        <f t="shared" si="61"/>
        <v>6.064143167500146E-2</v>
      </c>
      <c r="CA52" s="549">
        <f t="shared" si="97"/>
        <v>3.1E-2</v>
      </c>
      <c r="CB52" s="147">
        <f t="shared" si="62"/>
        <v>99.249503283217805</v>
      </c>
      <c r="CC52" s="153">
        <f t="shared" si="63"/>
        <v>0.24188357850402376</v>
      </c>
      <c r="CD52" s="5">
        <f t="shared" si="64"/>
        <v>1.4569999999999999</v>
      </c>
      <c r="CE52" s="153">
        <f t="shared" si="65"/>
        <v>0.85762203981215834</v>
      </c>
      <c r="CF52" s="5">
        <f t="shared" si="66"/>
        <v>85.762203981215833</v>
      </c>
      <c r="CG52">
        <f t="shared" si="102"/>
        <v>47</v>
      </c>
      <c r="CI52" s="59">
        <f t="shared" si="98"/>
        <v>-50</v>
      </c>
      <c r="CJ52">
        <f t="shared" si="99"/>
        <v>-50</v>
      </c>
    </row>
    <row r="53" spans="5:88" x14ac:dyDescent="0.25">
      <c r="E53" s="150">
        <v>48</v>
      </c>
      <c r="F53" s="191">
        <f t="shared" si="103"/>
        <v>4.8000000000000001E-2</v>
      </c>
      <c r="G53" s="191">
        <f t="shared" si="100"/>
        <v>4.8000000000000001E-2</v>
      </c>
      <c r="H53" s="191">
        <f t="shared" si="70"/>
        <v>0.72</v>
      </c>
      <c r="I53" s="191">
        <f t="shared" si="104"/>
        <v>0.76800000000000002</v>
      </c>
      <c r="J53" s="472">
        <f t="shared" si="1"/>
        <v>15</v>
      </c>
      <c r="K53" s="386">
        <f t="shared" si="2"/>
        <v>15.32</v>
      </c>
      <c r="L53" s="386">
        <f t="shared" si="3"/>
        <v>30.32</v>
      </c>
      <c r="M53" s="386"/>
      <c r="N53" s="191">
        <f t="shared" si="4"/>
        <v>0.50527704485488123</v>
      </c>
      <c r="O53" s="152">
        <f t="shared" si="101"/>
        <v>1.237725019150566</v>
      </c>
      <c r="P53" s="152">
        <f t="shared" si="71"/>
        <v>2.7284960422163587</v>
      </c>
      <c r="Q53" s="191">
        <f t="shared" si="6"/>
        <v>8.25150012767044E-2</v>
      </c>
      <c r="R53" s="191">
        <f t="shared" si="72"/>
        <v>7.7357813696910374E-2</v>
      </c>
      <c r="S53" s="386">
        <f t="shared" si="73"/>
        <v>15</v>
      </c>
      <c r="T53" s="191">
        <f t="shared" si="74"/>
        <v>0.43628430519292144</v>
      </c>
      <c r="U53" s="191">
        <f t="shared" si="10"/>
        <v>1.3670241562711536</v>
      </c>
      <c r="V53" s="191">
        <f t="shared" si="11"/>
        <v>1.3384701268973436</v>
      </c>
      <c r="W53" s="175">
        <f t="shared" si="12"/>
        <v>350</v>
      </c>
      <c r="X53" s="386">
        <f t="shared" si="52"/>
        <v>350</v>
      </c>
      <c r="Z53" s="191">
        <f t="shared" si="13"/>
        <v>0.46073894667618365</v>
      </c>
      <c r="AA53" s="153">
        <f t="shared" si="14"/>
        <v>1.4134941575574826</v>
      </c>
      <c r="AB53" s="153">
        <f t="shared" si="75"/>
        <v>0.11396906662504547</v>
      </c>
      <c r="AC53" s="153"/>
      <c r="AD53" s="153">
        <f t="shared" si="16"/>
        <v>0.46018276762402083</v>
      </c>
      <c r="AE53" s="317">
        <f t="shared" si="76"/>
        <v>1390.7517730496459</v>
      </c>
      <c r="AF53" s="463">
        <f t="shared" si="77"/>
        <v>1.2079797650130546E-2</v>
      </c>
      <c r="AH53" s="153">
        <f t="shared" si="78"/>
        <v>0.42533734153415625</v>
      </c>
      <c r="AI53" s="153">
        <f t="shared" si="79"/>
        <v>0.42533734153415625</v>
      </c>
      <c r="AJ53" s="153">
        <f t="shared" si="80"/>
        <v>1.4039535863215971</v>
      </c>
      <c r="AL53" s="317">
        <f t="shared" si="81"/>
        <v>48</v>
      </c>
      <c r="AM53" s="147">
        <f t="shared" si="82"/>
        <v>350</v>
      </c>
      <c r="AO53">
        <f t="shared" si="53"/>
        <v>48</v>
      </c>
      <c r="AP53" s="147">
        <f t="shared" si="24"/>
        <v>350</v>
      </c>
      <c r="AQ53" s="147"/>
      <c r="AR53" s="5">
        <f t="shared" si="54"/>
        <v>2.8571428571428572</v>
      </c>
      <c r="AS53" s="5">
        <f t="shared" si="25"/>
        <v>1.3327236701403562</v>
      </c>
      <c r="AT53" s="5">
        <f t="shared" si="55"/>
        <v>1.524419187002501</v>
      </c>
      <c r="AU53" s="153">
        <f t="shared" si="56"/>
        <v>0.46645328454912466</v>
      </c>
      <c r="AW53" s="5">
        <f t="shared" si="83"/>
        <v>0.96692791308641945</v>
      </c>
      <c r="AX53" s="5">
        <f t="shared" si="84"/>
        <v>3.4857028676266655</v>
      </c>
      <c r="AY53" s="5">
        <f t="shared" si="85"/>
        <v>0.96440494504700414</v>
      </c>
      <c r="AZ53" s="5">
        <f t="shared" si="86"/>
        <v>1.7119919951914888</v>
      </c>
      <c r="BA53" s="5">
        <f t="shared" si="87"/>
        <v>0.22403316051947866</v>
      </c>
      <c r="BB53" s="147">
        <f t="shared" si="88"/>
        <v>17.133153705627567</v>
      </c>
      <c r="BC53" s="5"/>
      <c r="BD53" s="153">
        <f t="shared" si="57"/>
        <v>0.16771695259213423</v>
      </c>
      <c r="BE53" s="153">
        <f t="shared" si="89"/>
        <v>0.17937384196417536</v>
      </c>
      <c r="BF53" s="153">
        <f t="shared" si="90"/>
        <v>0.17960831757458603</v>
      </c>
      <c r="BG53" s="153"/>
      <c r="BH53" s="463">
        <f t="shared" si="34"/>
        <v>9.8451416653772706E-3</v>
      </c>
      <c r="BI53" s="463">
        <f t="shared" si="35"/>
        <v>2.2568399341802332E-2</v>
      </c>
      <c r="BJ53" s="463">
        <f t="shared" si="36"/>
        <v>4.3749999999999995E-3</v>
      </c>
      <c r="BK53" s="463">
        <f t="shared" si="37"/>
        <v>1.6087792E-2</v>
      </c>
      <c r="BL53">
        <f t="shared" si="38"/>
        <v>4.3499999999999997E-3</v>
      </c>
      <c r="BM53">
        <f t="shared" si="91"/>
        <v>8.7499999999999992E-6</v>
      </c>
      <c r="BN53">
        <f t="shared" si="92"/>
        <v>5.8670748359495324E-2</v>
      </c>
      <c r="BO53" s="147">
        <f t="shared" si="58"/>
        <v>58.670748359495327</v>
      </c>
      <c r="BP53" s="153">
        <f t="shared" si="93"/>
        <v>4.2917681038275562E-2</v>
      </c>
      <c r="BQ53" s="153">
        <f t="shared" si="94"/>
        <v>4.2981988874867642E-2</v>
      </c>
      <c r="BR53" s="463"/>
      <c r="BT53" s="147">
        <f t="shared" si="59"/>
        <v>85.899669913143214</v>
      </c>
      <c r="BU53" s="463">
        <f t="shared" si="43"/>
        <v>2.8128976186792203E-2</v>
      </c>
      <c r="BV53" s="463">
        <f t="shared" si="60"/>
        <v>3.2174975180988954E-2</v>
      </c>
      <c r="BW53" s="463">
        <f t="shared" si="95"/>
        <v>1.6129573870986677E-3</v>
      </c>
      <c r="BX53" s="463">
        <f t="shared" si="45"/>
        <v>0</v>
      </c>
      <c r="BY53" s="463">
        <f t="shared" si="96"/>
        <v>6.9692147592940915E-2</v>
      </c>
      <c r="BZ53" s="463">
        <f t="shared" si="61"/>
        <v>6.1916908754879832E-2</v>
      </c>
      <c r="CA53" s="549">
        <f t="shared" si="97"/>
        <v>3.1659574468085115E-2</v>
      </c>
      <c r="CB53" s="147">
        <f t="shared" si="62"/>
        <v>101.35172206102602</v>
      </c>
      <c r="CC53" s="153">
        <f t="shared" si="63"/>
        <v>0.24592214033366458</v>
      </c>
      <c r="CD53" s="5">
        <f t="shared" si="64"/>
        <v>1.488</v>
      </c>
      <c r="CE53" s="153">
        <f t="shared" si="65"/>
        <v>0.85817002124078012</v>
      </c>
      <c r="CF53" s="5">
        <f t="shared" si="66"/>
        <v>85.817002124078016</v>
      </c>
      <c r="CG53">
        <f t="shared" si="102"/>
        <v>48</v>
      </c>
      <c r="CI53" s="59">
        <f t="shared" si="98"/>
        <v>-50</v>
      </c>
      <c r="CJ53">
        <f t="shared" si="99"/>
        <v>-50</v>
      </c>
    </row>
    <row r="54" spans="5:88" x14ac:dyDescent="0.25">
      <c r="E54" s="150">
        <v>49</v>
      </c>
      <c r="F54" s="191">
        <f t="shared" si="103"/>
        <v>4.9000000000000002E-2</v>
      </c>
      <c r="G54" s="191">
        <f t="shared" si="100"/>
        <v>4.9000000000000002E-2</v>
      </c>
      <c r="H54" s="191">
        <f t="shared" si="70"/>
        <v>0.73499999999999999</v>
      </c>
      <c r="I54" s="191">
        <f t="shared" si="104"/>
        <v>0.78400000000000003</v>
      </c>
      <c r="J54" s="472">
        <f t="shared" si="1"/>
        <v>15</v>
      </c>
      <c r="K54" s="386">
        <f t="shared" si="2"/>
        <v>15.32</v>
      </c>
      <c r="L54" s="386">
        <f t="shared" si="3"/>
        <v>30.32</v>
      </c>
      <c r="M54" s="386"/>
      <c r="N54" s="191">
        <f t="shared" si="4"/>
        <v>0.50527704485488123</v>
      </c>
      <c r="O54" s="152">
        <f t="shared" si="101"/>
        <v>1.237725019150566</v>
      </c>
      <c r="P54" s="152">
        <f t="shared" si="71"/>
        <v>2.7284960422163587</v>
      </c>
      <c r="Q54" s="191">
        <f t="shared" si="6"/>
        <v>8.25150012767044E-2</v>
      </c>
      <c r="R54" s="191">
        <f t="shared" si="72"/>
        <v>7.7357813696910374E-2</v>
      </c>
      <c r="S54" s="386">
        <f t="shared" si="73"/>
        <v>15</v>
      </c>
      <c r="T54" s="191">
        <f t="shared" si="74"/>
        <v>0.4453735615511073</v>
      </c>
      <c r="U54" s="191">
        <f t="shared" si="10"/>
        <v>1.3955038261934694</v>
      </c>
      <c r="V54" s="191">
        <f t="shared" si="11"/>
        <v>1.3663549212077051</v>
      </c>
      <c r="W54" s="175">
        <f t="shared" si="12"/>
        <v>350</v>
      </c>
      <c r="X54" s="386">
        <f t="shared" si="52"/>
        <v>350</v>
      </c>
      <c r="Z54" s="191">
        <f t="shared" si="13"/>
        <v>0.46073894667618365</v>
      </c>
      <c r="AA54" s="153">
        <f t="shared" si="14"/>
        <v>1.4134941575574826</v>
      </c>
      <c r="AB54" s="153">
        <f t="shared" si="75"/>
        <v>0.11396906662504547</v>
      </c>
      <c r="AC54" s="153"/>
      <c r="AD54" s="153">
        <f t="shared" si="16"/>
        <v>0.46018276762402083</v>
      </c>
      <c r="AE54" s="317">
        <f t="shared" si="76"/>
        <v>1419.7257683215132</v>
      </c>
      <c r="AF54" s="463">
        <f t="shared" si="77"/>
        <v>1.2079797650130546E-2</v>
      </c>
      <c r="AH54" s="153">
        <f t="shared" si="78"/>
        <v>0.42974510010450356</v>
      </c>
      <c r="AI54" s="153">
        <f t="shared" si="79"/>
        <v>0.42974510010450356</v>
      </c>
      <c r="AJ54" s="153">
        <f t="shared" si="80"/>
        <v>1.4072185926700027</v>
      </c>
      <c r="AL54" s="317">
        <f t="shared" si="81"/>
        <v>49</v>
      </c>
      <c r="AM54" s="147">
        <f t="shared" si="82"/>
        <v>350</v>
      </c>
      <c r="AO54">
        <f t="shared" si="53"/>
        <v>49</v>
      </c>
      <c r="AP54" s="147">
        <f t="shared" si="24"/>
        <v>350</v>
      </c>
      <c r="AQ54" s="147"/>
      <c r="AR54" s="5">
        <f t="shared" si="54"/>
        <v>2.8571428571428572</v>
      </c>
      <c r="AS54" s="5">
        <f t="shared" si="25"/>
        <v>1.3465346469941109</v>
      </c>
      <c r="AT54" s="5">
        <f t="shared" si="55"/>
        <v>1.5106082101487464</v>
      </c>
      <c r="AU54" s="153">
        <f t="shared" si="56"/>
        <v>0.4712871264479388</v>
      </c>
      <c r="AW54" s="5">
        <f t="shared" si="83"/>
        <v>0.96692791308641945</v>
      </c>
      <c r="AX54" s="5">
        <f t="shared" si="84"/>
        <v>3.6293908789807396</v>
      </c>
      <c r="AY54" s="5">
        <f t="shared" si="85"/>
        <v>0.96440494504700414</v>
      </c>
      <c r="AZ54" s="5">
        <f t="shared" si="86"/>
        <v>1.7820263804057141</v>
      </c>
      <c r="BA54" s="5">
        <f t="shared" si="87"/>
        <v>0.22662853049046375</v>
      </c>
      <c r="BB54" s="147">
        <f t="shared" si="88"/>
        <v>17.334695342340336</v>
      </c>
      <c r="BC54" s="5"/>
      <c r="BD54" s="153">
        <f t="shared" si="57"/>
        <v>0.17033076411092243</v>
      </c>
      <c r="BE54" s="153">
        <f t="shared" si="89"/>
        <v>0.18040985140876473</v>
      </c>
      <c r="BF54" s="153">
        <f t="shared" si="90"/>
        <v>0.18064568127988728</v>
      </c>
      <c r="BG54" s="153"/>
      <c r="BH54" s="463">
        <f t="shared" si="34"/>
        <v>1.0154399220913745E-2</v>
      </c>
      <c r="BI54" s="463">
        <f t="shared" si="35"/>
        <v>2.2802275011544963E-2</v>
      </c>
      <c r="BJ54" s="463">
        <f t="shared" si="36"/>
        <v>4.3749999999999995E-3</v>
      </c>
      <c r="BK54" s="463">
        <f t="shared" si="37"/>
        <v>1.6087792E-2</v>
      </c>
      <c r="BL54">
        <f t="shared" si="38"/>
        <v>4.3499999999999997E-3</v>
      </c>
      <c r="BM54">
        <f t="shared" si="91"/>
        <v>8.7499999999999992E-6</v>
      </c>
      <c r="BN54">
        <f t="shared" si="92"/>
        <v>5.9260083102222853E-2</v>
      </c>
      <c r="BO54" s="147">
        <f t="shared" si="58"/>
        <v>59.26008310222285</v>
      </c>
      <c r="BP54" s="153">
        <f t="shared" si="93"/>
        <v>4.358445386679409E-2</v>
      </c>
      <c r="BQ54" s="153">
        <f t="shared" si="94"/>
        <v>4.3649506694117012E-2</v>
      </c>
      <c r="BR54" s="463"/>
      <c r="BT54" s="147">
        <f t="shared" si="59"/>
        <v>87.2339605609111</v>
      </c>
      <c r="BU54" s="463">
        <f t="shared" si="43"/>
        <v>2.9012569202610701E-2</v>
      </c>
      <c r="BV54" s="463">
        <f t="shared" si="60"/>
        <v>3.2547714485332571E-2</v>
      </c>
      <c r="BW54" s="463">
        <f t="shared" si="95"/>
        <v>1.631643108253731E-3</v>
      </c>
      <c r="BX54" s="463">
        <f t="shared" si="45"/>
        <v>0</v>
      </c>
      <c r="BY54" s="463">
        <f t="shared" si="96"/>
        <v>7.11345684470997E-2</v>
      </c>
      <c r="BZ54" s="463">
        <f t="shared" si="61"/>
        <v>6.3191926796197007E-2</v>
      </c>
      <c r="CA54" s="549">
        <f t="shared" si="97"/>
        <v>3.2319148936170217E-2</v>
      </c>
      <c r="CB54" s="147">
        <f t="shared" si="62"/>
        <v>103.45371738326992</v>
      </c>
      <c r="CC54" s="153">
        <f t="shared" si="63"/>
        <v>0.24994776104640387</v>
      </c>
      <c r="CD54" s="5">
        <f t="shared" si="64"/>
        <v>1.5190000000000001</v>
      </c>
      <c r="CE54" s="153">
        <f t="shared" si="65"/>
        <v>0.85870257644095171</v>
      </c>
      <c r="CF54" s="5">
        <f t="shared" si="66"/>
        <v>85.870257644095176</v>
      </c>
      <c r="CG54">
        <f t="shared" si="102"/>
        <v>49</v>
      </c>
      <c r="CI54" s="59">
        <f t="shared" si="98"/>
        <v>-50</v>
      </c>
      <c r="CJ54">
        <f t="shared" si="99"/>
        <v>-50</v>
      </c>
    </row>
    <row r="55" spans="5:88" x14ac:dyDescent="0.25">
      <c r="E55" s="150">
        <v>50</v>
      </c>
      <c r="F55" s="191">
        <f t="shared" si="103"/>
        <v>0.05</v>
      </c>
      <c r="G55" s="191">
        <f t="shared" si="100"/>
        <v>0.05</v>
      </c>
      <c r="H55" s="191">
        <f t="shared" si="70"/>
        <v>0.75</v>
      </c>
      <c r="I55" s="191">
        <f t="shared" si="104"/>
        <v>0.8</v>
      </c>
      <c r="J55" s="472">
        <f t="shared" si="1"/>
        <v>15</v>
      </c>
      <c r="K55" s="386">
        <f t="shared" si="2"/>
        <v>15.32</v>
      </c>
      <c r="L55" s="386">
        <f t="shared" si="3"/>
        <v>30.32</v>
      </c>
      <c r="M55" s="386"/>
      <c r="N55" s="191">
        <f t="shared" si="4"/>
        <v>0.50527704485488123</v>
      </c>
      <c r="O55" s="152">
        <f t="shared" si="101"/>
        <v>1.237725019150566</v>
      </c>
      <c r="P55" s="152">
        <f t="shared" si="71"/>
        <v>2.7284960422163587</v>
      </c>
      <c r="Q55" s="191">
        <f t="shared" si="6"/>
        <v>8.25150012767044E-2</v>
      </c>
      <c r="R55" s="191">
        <f t="shared" si="72"/>
        <v>7.7357813696910374E-2</v>
      </c>
      <c r="S55" s="386">
        <f t="shared" si="73"/>
        <v>15</v>
      </c>
      <c r="T55" s="191">
        <f t="shared" si="74"/>
        <v>0.45446281790929316</v>
      </c>
      <c r="U55" s="191">
        <f t="shared" si="10"/>
        <v>1.4239834961157851</v>
      </c>
      <c r="V55" s="191">
        <f t="shared" si="11"/>
        <v>1.3942397155180661</v>
      </c>
      <c r="W55" s="175">
        <f t="shared" si="12"/>
        <v>350</v>
      </c>
      <c r="X55" s="386">
        <f t="shared" si="52"/>
        <v>350</v>
      </c>
      <c r="Z55" s="191">
        <f t="shared" si="13"/>
        <v>0.46073894667618365</v>
      </c>
      <c r="AA55" s="153">
        <f t="shared" si="14"/>
        <v>1.4134941575574826</v>
      </c>
      <c r="AB55" s="153">
        <f t="shared" si="75"/>
        <v>0.11396906662504547</v>
      </c>
      <c r="AC55" s="153"/>
      <c r="AD55" s="153">
        <f t="shared" si="16"/>
        <v>0.46018276762402083</v>
      </c>
      <c r="AE55" s="317">
        <f t="shared" si="76"/>
        <v>1448.699763593381</v>
      </c>
      <c r="AF55" s="463">
        <f t="shared" si="77"/>
        <v>1.2079797650130546E-2</v>
      </c>
      <c r="AH55" s="153">
        <f t="shared" si="78"/>
        <v>0.43410810637940883</v>
      </c>
      <c r="AI55" s="153">
        <f t="shared" si="79"/>
        <v>0.43410810637940883</v>
      </c>
      <c r="AJ55" s="153">
        <f t="shared" si="80"/>
        <v>1.4104504491699323</v>
      </c>
      <c r="AL55" s="317">
        <f t="shared" si="81"/>
        <v>50</v>
      </c>
      <c r="AM55" s="147">
        <f t="shared" si="82"/>
        <v>350</v>
      </c>
      <c r="AO55">
        <f t="shared" si="53"/>
        <v>50</v>
      </c>
      <c r="AP55" s="147">
        <f t="shared" si="24"/>
        <v>350</v>
      </c>
      <c r="AQ55" s="147"/>
      <c r="AR55" s="5">
        <f t="shared" si="54"/>
        <v>2.8571428571428572</v>
      </c>
      <c r="AS55" s="5">
        <f t="shared" si="25"/>
        <v>1.3602053999888144</v>
      </c>
      <c r="AT55" s="5">
        <f t="shared" si="55"/>
        <v>1.4969374571540428</v>
      </c>
      <c r="AU55" s="153">
        <f t="shared" si="56"/>
        <v>0.47607188999608502</v>
      </c>
      <c r="AW55" s="5">
        <f t="shared" si="83"/>
        <v>0.96692791308641945</v>
      </c>
      <c r="AX55" s="5">
        <f t="shared" si="84"/>
        <v>3.775979674074073</v>
      </c>
      <c r="AY55" s="5">
        <f t="shared" si="85"/>
        <v>0.96440494504700414</v>
      </c>
      <c r="AZ55" s="5">
        <f t="shared" si="86"/>
        <v>1.8534635364490983</v>
      </c>
      <c r="BA55" s="5">
        <f t="shared" si="87"/>
        <v>0.22916079591000163</v>
      </c>
      <c r="BB55" s="147">
        <f t="shared" si="88"/>
        <v>17.531504137694569</v>
      </c>
      <c r="BC55" s="5"/>
      <c r="BD55" s="153">
        <f t="shared" si="57"/>
        <v>0.17293127278238907</v>
      </c>
      <c r="BE55" s="153">
        <f t="shared" si="89"/>
        <v>0.1814149687924575</v>
      </c>
      <c r="BF55" s="153">
        <f t="shared" si="90"/>
        <v>0.18165211254251298</v>
      </c>
      <c r="BG55" s="153"/>
      <c r="BH55" s="463">
        <f t="shared" si="34"/>
        <v>1.0466828787147969E-2</v>
      </c>
      <c r="BI55" s="463">
        <f t="shared" si="35"/>
        <v>2.303377612449143E-2</v>
      </c>
      <c r="BJ55" s="463">
        <f t="shared" si="36"/>
        <v>4.3749999999999995E-3</v>
      </c>
      <c r="BK55" s="463">
        <f t="shared" si="37"/>
        <v>1.6087792E-2</v>
      </c>
      <c r="BL55">
        <f t="shared" si="38"/>
        <v>4.3499999999999997E-3</v>
      </c>
      <c r="BM55">
        <f t="shared" si="91"/>
        <v>8.7499999999999992E-6</v>
      </c>
      <c r="BN55">
        <f t="shared" si="92"/>
        <v>5.9850748368287805E-2</v>
      </c>
      <c r="BO55" s="147">
        <f t="shared" si="58"/>
        <v>59.850748368287803</v>
      </c>
      <c r="BP55" s="153">
        <f t="shared" si="93"/>
        <v>4.4244302649103805E-2</v>
      </c>
      <c r="BQ55" s="153">
        <f t="shared" si="94"/>
        <v>4.4310082353244566E-2</v>
      </c>
      <c r="BR55" s="463"/>
      <c r="BT55" s="147">
        <f t="shared" si="59"/>
        <v>88.554385002348369</v>
      </c>
      <c r="BU55" s="463">
        <f t="shared" si="43"/>
        <v>2.9905225106137058E-2</v>
      </c>
      <c r="BV55" s="463">
        <f t="shared" si="60"/>
        <v>3.2911390901968325E-2</v>
      </c>
      <c r="BW55" s="463">
        <f t="shared" si="95"/>
        <v>1.64987449955789E-3</v>
      </c>
      <c r="BX55" s="463">
        <f t="shared" si="45"/>
        <v>0</v>
      </c>
      <c r="BY55" s="463">
        <f t="shared" si="96"/>
        <v>7.2576770945803226E-2</v>
      </c>
      <c r="BZ55" s="463">
        <f t="shared" si="61"/>
        <v>6.4466490507663274E-2</v>
      </c>
      <c r="CA55" s="549">
        <f t="shared" si="97"/>
        <v>3.2978723404255332E-2</v>
      </c>
      <c r="CB55" s="147">
        <f t="shared" si="62"/>
        <v>105.55549435005857</v>
      </c>
      <c r="CC55" s="153">
        <f t="shared" si="63"/>
        <v>0.25396062772069472</v>
      </c>
      <c r="CD55" s="5">
        <f t="shared" si="64"/>
        <v>1.55</v>
      </c>
      <c r="CE55" s="153">
        <f t="shared" si="65"/>
        <v>0.85922052631405033</v>
      </c>
      <c r="CF55" s="5">
        <f t="shared" si="66"/>
        <v>85.922052631405037</v>
      </c>
      <c r="CG55">
        <f t="shared" si="102"/>
        <v>50</v>
      </c>
      <c r="CI55" s="59">
        <f t="shared" si="98"/>
        <v>-50</v>
      </c>
      <c r="CJ55">
        <f t="shared" si="99"/>
        <v>-50</v>
      </c>
    </row>
    <row r="56" spans="5:88" x14ac:dyDescent="0.25">
      <c r="E56" s="150">
        <v>51</v>
      </c>
      <c r="F56" s="191">
        <f t="shared" si="103"/>
        <v>5.1000000000000004E-2</v>
      </c>
      <c r="G56" s="191">
        <f t="shared" si="100"/>
        <v>5.1000000000000004E-2</v>
      </c>
      <c r="H56" s="191">
        <f t="shared" si="70"/>
        <v>0.76500000000000001</v>
      </c>
      <c r="I56" s="191">
        <f t="shared" si="104"/>
        <v>0.81600000000000006</v>
      </c>
      <c r="J56" s="472">
        <f t="shared" si="1"/>
        <v>15</v>
      </c>
      <c r="K56" s="386">
        <f t="shared" si="2"/>
        <v>15.32</v>
      </c>
      <c r="L56" s="386">
        <f t="shared" si="3"/>
        <v>30.32</v>
      </c>
      <c r="M56" s="386"/>
      <c r="N56" s="191">
        <f t="shared" si="4"/>
        <v>0.50527704485488123</v>
      </c>
      <c r="O56" s="152">
        <f t="shared" si="101"/>
        <v>1.237725019150566</v>
      </c>
      <c r="P56" s="152">
        <f t="shared" si="71"/>
        <v>2.7284960422163587</v>
      </c>
      <c r="Q56" s="191">
        <f t="shared" si="6"/>
        <v>8.25150012767044E-2</v>
      </c>
      <c r="R56" s="191">
        <f t="shared" si="72"/>
        <v>7.7357813696910374E-2</v>
      </c>
      <c r="S56" s="386">
        <f t="shared" si="73"/>
        <v>15</v>
      </c>
      <c r="T56" s="191">
        <f t="shared" si="74"/>
        <v>0.46355207426747902</v>
      </c>
      <c r="U56" s="191">
        <f t="shared" si="10"/>
        <v>1.4524631660381009</v>
      </c>
      <c r="V56" s="191">
        <f t="shared" si="11"/>
        <v>1.4221245098284276</v>
      </c>
      <c r="W56" s="175">
        <f t="shared" si="12"/>
        <v>350</v>
      </c>
      <c r="X56" s="386">
        <f t="shared" si="52"/>
        <v>347.87597831697911</v>
      </c>
      <c r="Z56" s="191">
        <f t="shared" si="13"/>
        <v>0.46073894667618365</v>
      </c>
      <c r="AA56" s="153">
        <f t="shared" si="14"/>
        <v>1.4134941575574826</v>
      </c>
      <c r="AB56" s="153">
        <f t="shared" si="75"/>
        <v>0.11396906662504547</v>
      </c>
      <c r="AC56" s="153"/>
      <c r="AD56" s="153">
        <f t="shared" si="16"/>
        <v>0.46018276762402083</v>
      </c>
      <c r="AE56" s="317">
        <f t="shared" si="76"/>
        <v>1477.6737588652486</v>
      </c>
      <c r="AF56" s="463">
        <f t="shared" si="77"/>
        <v>1.2079797650130546E-2</v>
      </c>
      <c r="AH56" s="153">
        <f t="shared" si="78"/>
        <v>0.43842769641618495</v>
      </c>
      <c r="AI56" s="153">
        <f t="shared" si="79"/>
        <v>0.43842769641618495</v>
      </c>
      <c r="AJ56" s="153">
        <f t="shared" si="80"/>
        <v>1.4136501454934702</v>
      </c>
      <c r="AL56" s="317">
        <f t="shared" si="81"/>
        <v>51.000000000000007</v>
      </c>
      <c r="AM56" s="147">
        <f t="shared" si="82"/>
        <v>347.87597831697911</v>
      </c>
      <c r="AO56">
        <f t="shared" si="53"/>
        <v>51.000000000000007</v>
      </c>
      <c r="AP56" s="147">
        <f t="shared" si="24"/>
        <v>347.87597831697911</v>
      </c>
      <c r="AQ56" s="147"/>
      <c r="AR56" s="5">
        <f t="shared" si="54"/>
        <v>2.874587675866529</v>
      </c>
      <c r="AS56" s="5">
        <f t="shared" si="25"/>
        <v>1.3737401154373794</v>
      </c>
      <c r="AT56" s="5">
        <f t="shared" si="55"/>
        <v>1.5008475604291496</v>
      </c>
      <c r="AU56" s="153">
        <f t="shared" si="56"/>
        <v>0.47789118661105817</v>
      </c>
      <c r="AW56" s="5">
        <f t="shared" si="83"/>
        <v>0.96692791308641945</v>
      </c>
      <c r="AX56" s="5">
        <f t="shared" si="84"/>
        <v>3.9254692529066659</v>
      </c>
      <c r="AY56" s="5">
        <f t="shared" si="85"/>
        <v>0.96440494504700414</v>
      </c>
      <c r="AZ56" s="5">
        <f t="shared" si="86"/>
        <v>1.926303463321642</v>
      </c>
      <c r="BA56" s="5">
        <f t="shared" si="87"/>
        <v>0.23435456721367756</v>
      </c>
      <c r="BB56" s="147">
        <f t="shared" si="88"/>
        <v>17.927925874359147</v>
      </c>
      <c r="BC56" s="5"/>
      <c r="BD56" s="153">
        <f t="shared" si="57"/>
        <v>0.17498542026770333</v>
      </c>
      <c r="BE56" s="153">
        <f t="shared" si="89"/>
        <v>0.18290175237542891</v>
      </c>
      <c r="BF56" s="153">
        <f t="shared" si="90"/>
        <v>0.183140839633436</v>
      </c>
      <c r="BG56" s="153"/>
      <c r="BH56" s="463">
        <f t="shared" si="34"/>
        <v>1.0716964057192666E-2</v>
      </c>
      <c r="BI56" s="463">
        <f t="shared" si="35"/>
        <v>2.3121799113905245E-2</v>
      </c>
      <c r="BJ56" s="463">
        <f t="shared" si="36"/>
        <v>4.3484497289622386E-3</v>
      </c>
      <c r="BK56" s="463">
        <f t="shared" si="37"/>
        <v>1.5990161088457341E-2</v>
      </c>
      <c r="BL56">
        <f t="shared" si="38"/>
        <v>4.3499999999999997E-3</v>
      </c>
      <c r="BM56">
        <f t="shared" si="91"/>
        <v>8.6968994579244769E-6</v>
      </c>
      <c r="BN56">
        <f t="shared" si="92"/>
        <v>6.010169891502689E-2</v>
      </c>
      <c r="BO56" s="147">
        <f t="shared" si="58"/>
        <v>60.101698915026887</v>
      </c>
      <c r="BP56" s="153">
        <f t="shared" si="93"/>
        <v>4.5040130980810084E-2</v>
      </c>
      <c r="BQ56" s="153">
        <f t="shared" si="94"/>
        <v>4.5106993296212906E-2</v>
      </c>
      <c r="BR56" s="463"/>
      <c r="BT56" s="147">
        <f t="shared" si="59"/>
        <v>90.147124277022982</v>
      </c>
      <c r="BU56" s="463">
        <f t="shared" si="43"/>
        <v>3.061989730626476E-2</v>
      </c>
      <c r="BV56" s="463">
        <f t="shared" si="60"/>
        <v>3.3453051022002717E-2</v>
      </c>
      <c r="BW56" s="463">
        <f t="shared" si="95"/>
        <v>1.6770283570819962E-3</v>
      </c>
      <c r="BX56" s="463">
        <f t="shared" si="45"/>
        <v>0</v>
      </c>
      <c r="BY56" s="463">
        <f t="shared" si="96"/>
        <v>7.4029368226384687E-2</v>
      </c>
      <c r="BZ56" s="463">
        <f t="shared" si="61"/>
        <v>6.5749976685349473E-2</v>
      </c>
      <c r="CA56" s="549">
        <f t="shared" si="97"/>
        <v>3.3434159375023954E-2</v>
      </c>
      <c r="CB56" s="147">
        <f t="shared" si="62"/>
        <v>107.46352760140864</v>
      </c>
      <c r="CC56" s="153">
        <f t="shared" si="63"/>
        <v>0.25771235079345856</v>
      </c>
      <c r="CD56" s="5">
        <f t="shared" si="64"/>
        <v>1.581</v>
      </c>
      <c r="CE56" s="153">
        <f t="shared" si="65"/>
        <v>0.85984085510588537</v>
      </c>
      <c r="CF56" s="5">
        <f t="shared" si="66"/>
        <v>85.984085510588542</v>
      </c>
      <c r="CG56">
        <f t="shared" si="102"/>
        <v>51</v>
      </c>
      <c r="CI56" s="59">
        <f t="shared" si="98"/>
        <v>-50</v>
      </c>
      <c r="CJ56">
        <f t="shared" si="99"/>
        <v>-50</v>
      </c>
    </row>
    <row r="57" spans="5:88" x14ac:dyDescent="0.25">
      <c r="E57" s="150">
        <v>52</v>
      </c>
      <c r="F57" s="191">
        <f t="shared" si="103"/>
        <v>5.2000000000000005E-2</v>
      </c>
      <c r="G57" s="191">
        <f t="shared" si="100"/>
        <v>5.2000000000000005E-2</v>
      </c>
      <c r="H57" s="191">
        <f t="shared" si="70"/>
        <v>0.78</v>
      </c>
      <c r="I57" s="191">
        <f t="shared" si="104"/>
        <v>0.83200000000000007</v>
      </c>
      <c r="J57" s="472">
        <f t="shared" si="1"/>
        <v>15</v>
      </c>
      <c r="K57" s="386">
        <f t="shared" si="2"/>
        <v>15.32</v>
      </c>
      <c r="L57" s="386">
        <f t="shared" si="3"/>
        <v>30.32</v>
      </c>
      <c r="M57" s="386"/>
      <c r="N57" s="191">
        <f t="shared" si="4"/>
        <v>0.50527704485488123</v>
      </c>
      <c r="O57" s="152">
        <f t="shared" si="101"/>
        <v>1.237725019150566</v>
      </c>
      <c r="P57" s="152">
        <f t="shared" si="71"/>
        <v>2.7284960422163587</v>
      </c>
      <c r="Q57" s="191">
        <f t="shared" si="6"/>
        <v>8.25150012767044E-2</v>
      </c>
      <c r="R57" s="191">
        <f t="shared" si="72"/>
        <v>7.7357813696910374E-2</v>
      </c>
      <c r="S57" s="386">
        <f t="shared" si="73"/>
        <v>15</v>
      </c>
      <c r="T57" s="191">
        <f t="shared" si="74"/>
        <v>0.47264133062566488</v>
      </c>
      <c r="U57" s="191">
        <f t="shared" si="10"/>
        <v>1.4809428359604164</v>
      </c>
      <c r="V57" s="191">
        <f t="shared" si="11"/>
        <v>1.4500093041387889</v>
      </c>
      <c r="W57" s="175">
        <f t="shared" si="12"/>
        <v>350</v>
      </c>
      <c r="X57" s="386">
        <f t="shared" si="52"/>
        <v>341.18605565703723</v>
      </c>
      <c r="Z57" s="191">
        <f t="shared" si="13"/>
        <v>0.46073894667618365</v>
      </c>
      <c r="AA57" s="153">
        <f t="shared" si="14"/>
        <v>1.4134941575574826</v>
      </c>
      <c r="AB57" s="153">
        <f t="shared" si="75"/>
        <v>0.11396906662504547</v>
      </c>
      <c r="AC57" s="153"/>
      <c r="AD57" s="153">
        <f t="shared" si="16"/>
        <v>0.46018276762402083</v>
      </c>
      <c r="AE57" s="317">
        <f t="shared" si="76"/>
        <v>1506.6477541371162</v>
      </c>
      <c r="AF57" s="463">
        <f t="shared" si="77"/>
        <v>1.2079797650130546E-2</v>
      </c>
      <c r="AH57" s="153">
        <f t="shared" si="78"/>
        <v>0.44270514108748366</v>
      </c>
      <c r="AI57" s="153">
        <f t="shared" si="79"/>
        <v>0.44270514108748366</v>
      </c>
      <c r="AJ57" s="153">
        <f t="shared" si="80"/>
        <v>1.4168186230277657</v>
      </c>
      <c r="AL57" s="317">
        <f t="shared" si="81"/>
        <v>52.000000000000007</v>
      </c>
      <c r="AM57" s="147">
        <f t="shared" si="82"/>
        <v>341.18605565703723</v>
      </c>
      <c r="AO57">
        <f t="shared" si="53"/>
        <v>52.000000000000007</v>
      </c>
      <c r="AP57" s="147">
        <f t="shared" si="24"/>
        <v>341.18605565703723</v>
      </c>
      <c r="AQ57" s="147"/>
      <c r="AR57" s="5">
        <f t="shared" si="54"/>
        <v>2.930952140099206</v>
      </c>
      <c r="AS57" s="5">
        <f t="shared" si="25"/>
        <v>1.3871427754074488</v>
      </c>
      <c r="AT57" s="5">
        <f t="shared" si="55"/>
        <v>1.5438093646917572</v>
      </c>
      <c r="AU57" s="153">
        <f t="shared" si="56"/>
        <v>0.4732737721744229</v>
      </c>
      <c r="AW57" s="5">
        <f t="shared" si="83"/>
        <v>0.96692791308641945</v>
      </c>
      <c r="AX57" s="5">
        <f t="shared" si="84"/>
        <v>4.0778596154785181</v>
      </c>
      <c r="AY57" s="5">
        <f t="shared" si="85"/>
        <v>0.96440494504700414</v>
      </c>
      <c r="AZ57" s="5">
        <f t="shared" si="86"/>
        <v>2.0005461610233453</v>
      </c>
      <c r="BA57" s="5">
        <f t="shared" si="87"/>
        <v>0.24578969835882594</v>
      </c>
      <c r="BB57" s="147">
        <f t="shared" si="88"/>
        <v>18.792449599134169</v>
      </c>
      <c r="BC57" s="5"/>
      <c r="BD57" s="153">
        <f t="shared" si="57"/>
        <v>0.17583695597320775</v>
      </c>
      <c r="BE57" s="153">
        <f t="shared" si="89"/>
        <v>0.18550106620315096</v>
      </c>
      <c r="BF57" s="153">
        <f t="shared" si="90"/>
        <v>0.18574355125701128</v>
      </c>
      <c r="BG57" s="153"/>
      <c r="BH57" s="463">
        <f t="shared" si="34"/>
        <v>1.0821522280073331E-2</v>
      </c>
      <c r="BI57" s="463">
        <f t="shared" si="35"/>
        <v>2.2898394849460376E-2</v>
      </c>
      <c r="BJ57" s="463">
        <f t="shared" si="36"/>
        <v>4.2648256957129654E-3</v>
      </c>
      <c r="BK57" s="463">
        <f t="shared" si="37"/>
        <v>1.5682657990602398E-2</v>
      </c>
      <c r="BL57">
        <f t="shared" si="38"/>
        <v>4.3499999999999997E-3</v>
      </c>
      <c r="BM57">
        <f t="shared" si="91"/>
        <v>8.5296513914259307E-6</v>
      </c>
      <c r="BN57">
        <f t="shared" si="92"/>
        <v>5.9605843264838844E-2</v>
      </c>
      <c r="BO57" s="147">
        <f t="shared" si="58"/>
        <v>59.605843264838846</v>
      </c>
      <c r="BP57" s="153">
        <f t="shared" si="93"/>
        <v>4.6153733209754438E-2</v>
      </c>
      <c r="BQ57" s="153">
        <f t="shared" si="94"/>
        <v>4.6222509460844413E-2</v>
      </c>
      <c r="BR57" s="463"/>
      <c r="BT57" s="147">
        <f t="shared" si="59"/>
        <v>92.376242670598856</v>
      </c>
      <c r="BU57" s="463">
        <f t="shared" si="43"/>
        <v>3.0918635085923803E-2</v>
      </c>
      <c r="BV57" s="463">
        <f t="shared" si="60"/>
        <v>3.4410645562505796E-2</v>
      </c>
      <c r="BW57" s="463">
        <f t="shared" si="95"/>
        <v>1.7250333416782991E-3</v>
      </c>
      <c r="BX57" s="463">
        <f t="shared" si="45"/>
        <v>0</v>
      </c>
      <c r="BY57" s="463">
        <f t="shared" si="96"/>
        <v>7.5505871220675078E-2</v>
      </c>
      <c r="BZ57" s="463">
        <f t="shared" si="61"/>
        <v>6.7054313990107903E-2</v>
      </c>
      <c r="CA57" s="549">
        <f t="shared" si="97"/>
        <v>3.3434159375023968E-2</v>
      </c>
      <c r="CB57" s="147">
        <f t="shared" si="62"/>
        <v>108.94003059569904</v>
      </c>
      <c r="CC57" s="153">
        <f t="shared" si="63"/>
        <v>0.26092211653113673</v>
      </c>
      <c r="CD57" s="5">
        <f t="shared" si="64"/>
        <v>1.6120000000000001</v>
      </c>
      <c r="CE57" s="153">
        <f t="shared" si="65"/>
        <v>0.86068715072125168</v>
      </c>
      <c r="CF57" s="5">
        <f t="shared" si="66"/>
        <v>86.068715072125173</v>
      </c>
      <c r="CG57">
        <f t="shared" si="102"/>
        <v>52</v>
      </c>
      <c r="CI57" s="59">
        <f t="shared" si="98"/>
        <v>-50</v>
      </c>
      <c r="CJ57">
        <f t="shared" si="99"/>
        <v>-50</v>
      </c>
    </row>
    <row r="58" spans="5:88" x14ac:dyDescent="0.25">
      <c r="E58" s="150">
        <v>53</v>
      </c>
      <c r="F58" s="191">
        <f t="shared" si="103"/>
        <v>5.3000000000000005E-2</v>
      </c>
      <c r="G58" s="191">
        <f t="shared" si="100"/>
        <v>5.3000000000000005E-2</v>
      </c>
      <c r="H58" s="191">
        <f t="shared" si="70"/>
        <v>0.79500000000000004</v>
      </c>
      <c r="I58" s="191">
        <f t="shared" si="104"/>
        <v>0.84800000000000009</v>
      </c>
      <c r="J58" s="472">
        <f t="shared" si="1"/>
        <v>15</v>
      </c>
      <c r="K58" s="386">
        <f t="shared" si="2"/>
        <v>15.32</v>
      </c>
      <c r="L58" s="386">
        <f t="shared" si="3"/>
        <v>30.32</v>
      </c>
      <c r="M58" s="386"/>
      <c r="N58" s="191">
        <f t="shared" si="4"/>
        <v>0.50527704485488123</v>
      </c>
      <c r="O58" s="152">
        <f t="shared" si="101"/>
        <v>1.237725019150566</v>
      </c>
      <c r="P58" s="152">
        <f t="shared" si="71"/>
        <v>2.7284960422163587</v>
      </c>
      <c r="Q58" s="191">
        <f t="shared" si="6"/>
        <v>8.25150012767044E-2</v>
      </c>
      <c r="R58" s="191">
        <f t="shared" si="72"/>
        <v>7.7357813696910374E-2</v>
      </c>
      <c r="S58" s="386">
        <f t="shared" si="73"/>
        <v>15</v>
      </c>
      <c r="T58" s="191">
        <f t="shared" si="74"/>
        <v>0.48173058698385079</v>
      </c>
      <c r="U58" s="191">
        <f t="shared" si="10"/>
        <v>1.5094225058827326</v>
      </c>
      <c r="V58" s="191">
        <f t="shared" si="11"/>
        <v>1.4778940984491504</v>
      </c>
      <c r="W58" s="175">
        <f t="shared" si="12"/>
        <v>350</v>
      </c>
      <c r="X58" s="386">
        <f t="shared" si="52"/>
        <v>334.74858290879121</v>
      </c>
      <c r="Z58" s="191">
        <f t="shared" si="13"/>
        <v>0.46073894667618365</v>
      </c>
      <c r="AA58" s="153">
        <f t="shared" si="14"/>
        <v>1.4134941575574826</v>
      </c>
      <c r="AB58" s="153">
        <f t="shared" si="75"/>
        <v>0.11396906662504547</v>
      </c>
      <c r="AC58" s="153"/>
      <c r="AD58" s="153">
        <f t="shared" si="16"/>
        <v>0.46018276762402083</v>
      </c>
      <c r="AE58" s="317">
        <f t="shared" si="76"/>
        <v>1535.621749408984</v>
      </c>
      <c r="AF58" s="463">
        <f t="shared" si="77"/>
        <v>1.2079797650130546E-2</v>
      </c>
      <c r="AH58" s="153">
        <f t="shared" si="78"/>
        <v>0.4469416504486633</v>
      </c>
      <c r="AI58" s="153">
        <f t="shared" si="79"/>
        <v>0.4469416504486633</v>
      </c>
      <c r="AJ58" s="153">
        <f t="shared" si="80"/>
        <v>1.4199567781101208</v>
      </c>
      <c r="AL58" s="317">
        <f t="shared" si="81"/>
        <v>53.000000000000007</v>
      </c>
      <c r="AM58" s="147">
        <f t="shared" si="82"/>
        <v>334.74858290879121</v>
      </c>
      <c r="AO58">
        <f t="shared" si="53"/>
        <v>53.000000000000007</v>
      </c>
      <c r="AP58" s="147">
        <f t="shared" si="24"/>
        <v>334.74858290879121</v>
      </c>
      <c r="AQ58" s="147"/>
      <c r="AR58" s="5">
        <f t="shared" si="54"/>
        <v>2.9873166043318831</v>
      </c>
      <c r="AS58" s="5">
        <f t="shared" si="25"/>
        <v>1.4004171714058118</v>
      </c>
      <c r="AT58" s="5">
        <f t="shared" si="55"/>
        <v>1.5868994329260713</v>
      </c>
      <c r="AU58" s="153">
        <f t="shared" si="56"/>
        <v>0.46878766360923324</v>
      </c>
      <c r="AW58" s="5">
        <f t="shared" si="83"/>
        <v>0.96692791308641945</v>
      </c>
      <c r="AX58" s="5">
        <f t="shared" si="84"/>
        <v>4.2331507617896289</v>
      </c>
      <c r="AY58" s="5">
        <f t="shared" si="85"/>
        <v>0.96440494504700414</v>
      </c>
      <c r="AZ58" s="5">
        <f t="shared" si="86"/>
        <v>2.0761916295542067</v>
      </c>
      <c r="BA58" s="5">
        <f t="shared" si="87"/>
        <v>0.25750871785654672</v>
      </c>
      <c r="BB58" s="147">
        <f t="shared" si="88"/>
        <v>19.678264950352112</v>
      </c>
      <c r="BC58" s="5"/>
      <c r="BD58" s="153">
        <f t="shared" si="57"/>
        <v>0.17667629703368465</v>
      </c>
      <c r="BE58" s="153">
        <f t="shared" si="89"/>
        <v>0.18807205809225608</v>
      </c>
      <c r="BF58" s="153">
        <f t="shared" si="90"/>
        <v>0.18831790391982764</v>
      </c>
      <c r="BG58" s="153"/>
      <c r="BH58" s="463">
        <f t="shared" si="34"/>
        <v>1.0925079876737168E-2</v>
      </c>
      <c r="BI58" s="463">
        <f t="shared" si="35"/>
        <v>2.2681343554199925E-2</v>
      </c>
      <c r="BJ58" s="463">
        <f t="shared" si="36"/>
        <v>4.1843572863598903E-3</v>
      </c>
      <c r="BK58" s="463">
        <f t="shared" si="37"/>
        <v>1.5386758783232536E-2</v>
      </c>
      <c r="BL58">
        <f t="shared" si="38"/>
        <v>4.3499999999999997E-3</v>
      </c>
      <c r="BM58">
        <f t="shared" si="91"/>
        <v>8.3687145727197806E-6</v>
      </c>
      <c r="BN58">
        <f t="shared" si="92"/>
        <v>5.9129980955112481E-2</v>
      </c>
      <c r="BO58" s="147">
        <f t="shared" si="58"/>
        <v>59.12998095511248</v>
      </c>
      <c r="BP58" s="153">
        <f t="shared" si="93"/>
        <v>4.7269519662783512E-2</v>
      </c>
      <c r="BQ58" s="153">
        <f t="shared" si="94"/>
        <v>4.7340215563682689E-2</v>
      </c>
      <c r="BR58" s="463"/>
      <c r="BT58" s="147">
        <f t="shared" si="59"/>
        <v>94.609735226466213</v>
      </c>
      <c r="BU58" s="463">
        <f t="shared" si="43"/>
        <v>3.1214513933534766E-2</v>
      </c>
      <c r="BV58" s="463">
        <f t="shared" si="60"/>
        <v>3.5371099035056947E-2</v>
      </c>
      <c r="BW58" s="463">
        <f t="shared" si="95"/>
        <v>1.7731816468378719E-3</v>
      </c>
      <c r="BX58" s="463">
        <f t="shared" si="45"/>
        <v>0</v>
      </c>
      <c r="BY58" s="463">
        <f t="shared" si="96"/>
        <v>7.6982846335807598E-2</v>
      </c>
      <c r="BZ58" s="463">
        <f t="shared" si="61"/>
        <v>6.8358794615429583E-2</v>
      </c>
      <c r="CA58" s="549">
        <f t="shared" si="97"/>
        <v>3.3434159375023968E-2</v>
      </c>
      <c r="CB58" s="147">
        <f t="shared" si="62"/>
        <v>110.41700571083157</v>
      </c>
      <c r="CC58" s="153">
        <f t="shared" si="63"/>
        <v>0.26415672189241024</v>
      </c>
      <c r="CD58" s="5">
        <f t="shared" si="64"/>
        <v>1.6430000000000002</v>
      </c>
      <c r="CE58" s="153">
        <f t="shared" si="65"/>
        <v>0.86149186437583591</v>
      </c>
      <c r="CF58" s="5">
        <f t="shared" si="66"/>
        <v>86.149186437583595</v>
      </c>
      <c r="CG58">
        <f t="shared" si="102"/>
        <v>53</v>
      </c>
      <c r="CI58" s="59">
        <f t="shared" si="98"/>
        <v>-50</v>
      </c>
      <c r="CJ58">
        <f t="shared" si="99"/>
        <v>-50</v>
      </c>
    </row>
    <row r="59" spans="5:88" x14ac:dyDescent="0.25">
      <c r="E59" s="150">
        <v>54</v>
      </c>
      <c r="F59" s="191">
        <f t="shared" si="103"/>
        <v>5.4000000000000006E-2</v>
      </c>
      <c r="G59" s="191">
        <f t="shared" si="100"/>
        <v>5.4000000000000006E-2</v>
      </c>
      <c r="H59" s="191">
        <f t="shared" si="70"/>
        <v>0.81</v>
      </c>
      <c r="I59" s="191">
        <f t="shared" si="104"/>
        <v>0.8640000000000001</v>
      </c>
      <c r="J59" s="472">
        <f t="shared" si="1"/>
        <v>15</v>
      </c>
      <c r="K59" s="386">
        <f t="shared" si="2"/>
        <v>15.32</v>
      </c>
      <c r="L59" s="386">
        <f t="shared" si="3"/>
        <v>30.32</v>
      </c>
      <c r="M59" s="386"/>
      <c r="N59" s="191">
        <f t="shared" si="4"/>
        <v>0.50527704485488123</v>
      </c>
      <c r="O59" s="152">
        <f t="shared" si="101"/>
        <v>1.237725019150566</v>
      </c>
      <c r="P59" s="152">
        <f t="shared" si="71"/>
        <v>2.7284960422163587</v>
      </c>
      <c r="Q59" s="191">
        <f t="shared" si="6"/>
        <v>8.25150012767044E-2</v>
      </c>
      <c r="R59" s="191">
        <f t="shared" si="72"/>
        <v>7.7357813696910374E-2</v>
      </c>
      <c r="S59" s="386">
        <f t="shared" si="73"/>
        <v>15</v>
      </c>
      <c r="T59" s="191">
        <f t="shared" si="74"/>
        <v>0.49081984334203665</v>
      </c>
      <c r="U59" s="191">
        <f t="shared" si="10"/>
        <v>1.5379021758050482</v>
      </c>
      <c r="V59" s="191">
        <f t="shared" si="11"/>
        <v>1.5057788927595117</v>
      </c>
      <c r="W59" s="175">
        <f t="shared" si="12"/>
        <v>350</v>
      </c>
      <c r="X59" s="386">
        <f t="shared" si="52"/>
        <v>328.54953507714697</v>
      </c>
      <c r="Z59" s="191">
        <f t="shared" si="13"/>
        <v>0.46073894667618365</v>
      </c>
      <c r="AA59" s="153">
        <f t="shared" si="14"/>
        <v>1.4134941575574826</v>
      </c>
      <c r="AB59" s="153">
        <f t="shared" si="75"/>
        <v>0.11396906662504547</v>
      </c>
      <c r="AC59" s="153"/>
      <c r="AD59" s="153">
        <f t="shared" si="16"/>
        <v>0.46018276762402083</v>
      </c>
      <c r="AE59" s="317">
        <f t="shared" si="76"/>
        <v>1564.5957446808518</v>
      </c>
      <c r="AF59" s="463">
        <f t="shared" si="77"/>
        <v>1.2079797650130546E-2</v>
      </c>
      <c r="AH59" s="153">
        <f t="shared" si="78"/>
        <v>0.45113837773599069</v>
      </c>
      <c r="AI59" s="153">
        <f t="shared" si="79"/>
        <v>0.45113837773599069</v>
      </c>
      <c r="AJ59" s="153">
        <f t="shared" si="80"/>
        <v>1.4230654649896226</v>
      </c>
      <c r="AL59" s="317">
        <f t="shared" si="81"/>
        <v>54.000000000000007</v>
      </c>
      <c r="AM59" s="147">
        <f t="shared" si="82"/>
        <v>328.54953507714697</v>
      </c>
      <c r="AO59">
        <f t="shared" si="53"/>
        <v>54.000000000000007</v>
      </c>
      <c r="AP59" s="147">
        <f t="shared" si="24"/>
        <v>328.54953507714697</v>
      </c>
      <c r="AQ59" s="147"/>
      <c r="AR59" s="5">
        <f t="shared" si="54"/>
        <v>3.0436810685645597</v>
      </c>
      <c r="AS59" s="5">
        <f t="shared" si="25"/>
        <v>1.413566916906104</v>
      </c>
      <c r="AT59" s="5">
        <f t="shared" si="55"/>
        <v>1.6301141516584556</v>
      </c>
      <c r="AU59" s="153">
        <f t="shared" si="56"/>
        <v>0.46442675334993655</v>
      </c>
      <c r="AW59" s="5">
        <f t="shared" si="83"/>
        <v>0.96692791308641945</v>
      </c>
      <c r="AX59" s="5">
        <f t="shared" si="84"/>
        <v>4.3913426918399994</v>
      </c>
      <c r="AY59" s="5">
        <f t="shared" si="85"/>
        <v>0.96440494504700414</v>
      </c>
      <c r="AZ59" s="5">
        <f t="shared" si="86"/>
        <v>2.1532398689142287</v>
      </c>
      <c r="BA59" s="5">
        <f t="shared" si="87"/>
        <v>0.26951220640753137</v>
      </c>
      <c r="BB59" s="147">
        <f t="shared" si="88"/>
        <v>20.585415480564851</v>
      </c>
      <c r="BC59" s="5"/>
      <c r="BD59" s="153">
        <f t="shared" si="57"/>
        <v>0.17750384331444757</v>
      </c>
      <c r="BE59" s="153">
        <f t="shared" si="89"/>
        <v>0.19061566278077427</v>
      </c>
      <c r="BF59" s="153">
        <f t="shared" si="90"/>
        <v>0.1908648335817949</v>
      </c>
      <c r="BG59" s="153"/>
      <c r="BH59" s="463">
        <f t="shared" si="34"/>
        <v>1.1027665036989985E-2</v>
      </c>
      <c r="BI59" s="463">
        <f t="shared" si="35"/>
        <v>2.2470349725909694E-2</v>
      </c>
      <c r="BJ59" s="463">
        <f t="shared" si="36"/>
        <v>4.106869188464337E-3</v>
      </c>
      <c r="BK59" s="463">
        <f t="shared" si="37"/>
        <v>1.510181880576527E-2</v>
      </c>
      <c r="BL59">
        <f t="shared" si="38"/>
        <v>4.3499999999999997E-3</v>
      </c>
      <c r="BM59">
        <f t="shared" si="91"/>
        <v>8.2137383769286735E-6</v>
      </c>
      <c r="BN59">
        <f t="shared" si="92"/>
        <v>5.8673027663972067E-2</v>
      </c>
      <c r="BO59" s="147">
        <f t="shared" si="58"/>
        <v>58.673027663972064</v>
      </c>
      <c r="BP59" s="153">
        <f t="shared" si="93"/>
        <v>4.8387428805578357E-2</v>
      </c>
      <c r="BQ59" s="153">
        <f t="shared" si="94"/>
        <v>4.8460049909429592E-2</v>
      </c>
      <c r="BR59" s="463"/>
      <c r="BT59" s="147">
        <f t="shared" si="59"/>
        <v>96.847478715007952</v>
      </c>
      <c r="BU59" s="463">
        <f t="shared" si="43"/>
        <v>3.1507614391399957E-2</v>
      </c>
      <c r="BV59" s="463">
        <f t="shared" si="60"/>
        <v>3.6334330897353856E-2</v>
      </c>
      <c r="BW59" s="463">
        <f t="shared" si="95"/>
        <v>1.8214692349103135E-3</v>
      </c>
      <c r="BX59" s="463">
        <f t="shared" si="45"/>
        <v>0</v>
      </c>
      <c r="BY59" s="463">
        <f t="shared" si="96"/>
        <v>7.8460289198510419E-2</v>
      </c>
      <c r="BZ59" s="463">
        <f t="shared" si="61"/>
        <v>6.9663414523664133E-2</v>
      </c>
      <c r="CA59" s="549">
        <f t="shared" si="97"/>
        <v>3.3434159375023961E-2</v>
      </c>
      <c r="CB59" s="147">
        <f t="shared" si="62"/>
        <v>111.89444857353438</v>
      </c>
      <c r="CC59" s="153">
        <f t="shared" si="63"/>
        <v>0.26741495495251438</v>
      </c>
      <c r="CD59" s="5">
        <f t="shared" si="64"/>
        <v>1.6740000000000002</v>
      </c>
      <c r="CE59" s="153">
        <f t="shared" si="65"/>
        <v>0.86225770319202311</v>
      </c>
      <c r="CF59" s="5">
        <f t="shared" si="66"/>
        <v>86.225770319202311</v>
      </c>
      <c r="CG59">
        <f t="shared" si="102"/>
        <v>54</v>
      </c>
      <c r="CI59" s="59">
        <f t="shared" si="98"/>
        <v>-50</v>
      </c>
      <c r="CJ59">
        <f t="shared" si="99"/>
        <v>-50</v>
      </c>
    </row>
    <row r="60" spans="5:88" x14ac:dyDescent="0.25">
      <c r="E60" s="150">
        <v>55</v>
      </c>
      <c r="F60" s="191">
        <f t="shared" si="103"/>
        <v>5.5000000000000007E-2</v>
      </c>
      <c r="G60" s="191">
        <f t="shared" si="100"/>
        <v>5.5000000000000007E-2</v>
      </c>
      <c r="H60" s="191">
        <f t="shared" si="70"/>
        <v>0.82500000000000007</v>
      </c>
      <c r="I60" s="191">
        <f t="shared" si="104"/>
        <v>0.88000000000000012</v>
      </c>
      <c r="J60" s="472">
        <f t="shared" si="1"/>
        <v>15</v>
      </c>
      <c r="K60" s="386">
        <f t="shared" si="2"/>
        <v>15.32</v>
      </c>
      <c r="L60" s="386">
        <f t="shared" si="3"/>
        <v>30.32</v>
      </c>
      <c r="M60" s="386"/>
      <c r="N60" s="191">
        <f t="shared" si="4"/>
        <v>0.50527704485488123</v>
      </c>
      <c r="O60" s="152">
        <f t="shared" si="101"/>
        <v>1.237725019150566</v>
      </c>
      <c r="P60" s="152">
        <f t="shared" si="71"/>
        <v>2.7284960422163587</v>
      </c>
      <c r="Q60" s="191">
        <f t="shared" si="6"/>
        <v>8.25150012767044E-2</v>
      </c>
      <c r="R60" s="191">
        <f t="shared" si="72"/>
        <v>7.7357813696910374E-2</v>
      </c>
      <c r="S60" s="386">
        <f t="shared" si="73"/>
        <v>15</v>
      </c>
      <c r="T60" s="191">
        <f t="shared" si="74"/>
        <v>0.49990909970022246</v>
      </c>
      <c r="U60" s="191">
        <f t="shared" si="10"/>
        <v>1.5663818457273637</v>
      </c>
      <c r="V60" s="191">
        <f t="shared" si="11"/>
        <v>1.533663687069873</v>
      </c>
      <c r="W60" s="175">
        <f t="shared" si="12"/>
        <v>350</v>
      </c>
      <c r="X60" s="386">
        <f t="shared" si="52"/>
        <v>322.57590716665339</v>
      </c>
      <c r="Z60" s="191">
        <f t="shared" si="13"/>
        <v>0.46073894667618365</v>
      </c>
      <c r="AA60" s="153">
        <f t="shared" si="14"/>
        <v>1.4134941575574826</v>
      </c>
      <c r="AB60" s="153">
        <f t="shared" si="75"/>
        <v>0.11396906662504547</v>
      </c>
      <c r="AC60" s="153"/>
      <c r="AD60" s="153">
        <f t="shared" si="16"/>
        <v>0.46018276762402083</v>
      </c>
      <c r="AE60" s="317">
        <f t="shared" si="76"/>
        <v>1593.5697399527191</v>
      </c>
      <c r="AF60" s="463">
        <f t="shared" si="77"/>
        <v>1.2079797650130546E-2</v>
      </c>
      <c r="AH60" s="153">
        <f t="shared" si="78"/>
        <v>0.45529642303311341</v>
      </c>
      <c r="AI60" s="153">
        <f t="shared" si="79"/>
        <v>0.45529642303311341</v>
      </c>
      <c r="AJ60" s="153">
        <f t="shared" si="80"/>
        <v>1.4261454985430468</v>
      </c>
      <c r="AL60" s="317">
        <f t="shared" si="81"/>
        <v>55.000000000000007</v>
      </c>
      <c r="AM60" s="147">
        <f t="shared" si="82"/>
        <v>322.57590716665339</v>
      </c>
      <c r="AO60">
        <f t="shared" si="53"/>
        <v>55.000000000000007</v>
      </c>
      <c r="AP60">
        <f t="shared" si="24"/>
        <v>322.57590716665339</v>
      </c>
      <c r="AR60" s="5">
        <f t="shared" si="54"/>
        <v>3.1000455327972372</v>
      </c>
      <c r="AS60" s="5">
        <f t="shared" si="25"/>
        <v>1.4265954588370884</v>
      </c>
      <c r="AT60" s="5">
        <f t="shared" si="55"/>
        <v>1.6734500739601488</v>
      </c>
      <c r="AU60" s="153">
        <f t="shared" si="56"/>
        <v>0.46018532429420184</v>
      </c>
      <c r="AW60" s="5">
        <f t="shared" si="83"/>
        <v>0.96692791308641945</v>
      </c>
      <c r="AX60" s="5">
        <f t="shared" si="84"/>
        <v>4.5524354056296286</v>
      </c>
      <c r="AY60" s="5">
        <f t="shared" si="85"/>
        <v>0.96440494504700414</v>
      </c>
      <c r="AZ60" s="5">
        <f t="shared" si="86"/>
        <v>2.2316908791034091</v>
      </c>
      <c r="BA60" s="5">
        <f t="shared" si="87"/>
        <v>0.28180072850390653</v>
      </c>
      <c r="BB60" s="147">
        <f t="shared" si="88"/>
        <v>21.513943526681881</v>
      </c>
      <c r="BC60" s="5"/>
      <c r="BD60" s="153">
        <f t="shared" si="57"/>
        <v>0.17831997445499415</v>
      </c>
      <c r="BE60" s="153">
        <f t="shared" si="89"/>
        <v>0.1931327634537604</v>
      </c>
      <c r="BF60" s="153">
        <f t="shared" si="90"/>
        <v>0.19338522458245813</v>
      </c>
      <c r="BG60" s="153"/>
      <c r="BH60" s="463">
        <f t="shared" si="34"/>
        <v>1.1129304651370417E-2</v>
      </c>
      <c r="BI60" s="463">
        <f t="shared" si="35"/>
        <v>2.2265136754149269E-2</v>
      </c>
      <c r="BJ60" s="463">
        <f t="shared" si="36"/>
        <v>4.0321988395831676E-3</v>
      </c>
      <c r="BK60" s="463">
        <f t="shared" si="37"/>
        <v>1.4827240282024085E-2</v>
      </c>
      <c r="BL60">
        <f t="shared" si="38"/>
        <v>4.3499999999999997E-3</v>
      </c>
      <c r="BM60">
        <f t="shared" si="91"/>
        <v>8.0643976791663352E-6</v>
      </c>
      <c r="BN60">
        <f t="shared" si="92"/>
        <v>5.8233976178370839E-2</v>
      </c>
      <c r="BO60" s="147">
        <f t="shared" si="58"/>
        <v>58.233976178370838</v>
      </c>
      <c r="BP60" s="153">
        <f t="shared" si="93"/>
        <v>4.9507401939934637E-2</v>
      </c>
      <c r="BQ60" s="153">
        <f t="shared" si="94"/>
        <v>4.958195364632114E-2</v>
      </c>
      <c r="BR60" s="463"/>
      <c r="BT60" s="147">
        <f t="shared" si="59"/>
        <v>99.089355586255778</v>
      </c>
      <c r="BU60" s="463">
        <f t="shared" si="43"/>
        <v>3.1798013289629765E-2</v>
      </c>
      <c r="BV60" s="463">
        <f t="shared" si="60"/>
        <v>3.7300264319286167E-2</v>
      </c>
      <c r="BW60" s="463">
        <f t="shared" si="95"/>
        <v>1.8698922543403885E-3</v>
      </c>
      <c r="BX60" s="463">
        <f t="shared" si="45"/>
        <v>0</v>
      </c>
      <c r="BY60" s="463">
        <f t="shared" si="96"/>
        <v>7.9938195642601198E-2</v>
      </c>
      <c r="BZ60" s="463">
        <f t="shared" si="61"/>
        <v>7.0968169863256325E-2</v>
      </c>
      <c r="CA60" s="549">
        <f t="shared" si="97"/>
        <v>3.3434159375023968E-2</v>
      </c>
      <c r="CB60" s="147">
        <f t="shared" si="62"/>
        <v>113.37235501762515</v>
      </c>
      <c r="CC60" s="153">
        <f t="shared" si="63"/>
        <v>0.27069568678225181</v>
      </c>
      <c r="CD60" s="5">
        <f t="shared" si="64"/>
        <v>1.7050000000000001</v>
      </c>
      <c r="CE60" s="153">
        <f t="shared" si="65"/>
        <v>0.86298715505973256</v>
      </c>
      <c r="CF60" s="5">
        <f t="shared" si="66"/>
        <v>86.298715505973263</v>
      </c>
      <c r="CG60">
        <f t="shared" si="102"/>
        <v>55.000000000000007</v>
      </c>
      <c r="CI60" s="59">
        <f t="shared" si="98"/>
        <v>-50</v>
      </c>
      <c r="CJ60">
        <f t="shared" si="99"/>
        <v>-50</v>
      </c>
    </row>
    <row r="61" spans="5:88" x14ac:dyDescent="0.25">
      <c r="E61" s="150">
        <v>56</v>
      </c>
      <c r="F61" s="191">
        <f t="shared" si="103"/>
        <v>5.6000000000000008E-2</v>
      </c>
      <c r="G61" s="191">
        <f t="shared" si="100"/>
        <v>5.6000000000000008E-2</v>
      </c>
      <c r="H61" s="191">
        <f t="shared" si="70"/>
        <v>0.84000000000000008</v>
      </c>
      <c r="I61" s="191">
        <f t="shared" si="104"/>
        <v>0.89600000000000013</v>
      </c>
      <c r="J61" s="472">
        <f t="shared" si="1"/>
        <v>15</v>
      </c>
      <c r="K61" s="386">
        <f t="shared" si="2"/>
        <v>15.32</v>
      </c>
      <c r="L61" s="386">
        <f t="shared" si="3"/>
        <v>30.32</v>
      </c>
      <c r="M61" s="386"/>
      <c r="N61" s="191">
        <f t="shared" si="4"/>
        <v>0.50527704485488123</v>
      </c>
      <c r="O61" s="152">
        <f t="shared" si="101"/>
        <v>1.237725019150566</v>
      </c>
      <c r="P61" s="152">
        <f t="shared" si="71"/>
        <v>2.7284960422163587</v>
      </c>
      <c r="Q61" s="191">
        <f t="shared" si="6"/>
        <v>8.25150012767044E-2</v>
      </c>
      <c r="R61" s="191">
        <f t="shared" si="72"/>
        <v>7.7357813696910374E-2</v>
      </c>
      <c r="S61" s="386">
        <f t="shared" si="73"/>
        <v>15</v>
      </c>
      <c r="T61" s="191">
        <f t="shared" si="74"/>
        <v>0.50899835605840837</v>
      </c>
      <c r="U61" s="191">
        <f t="shared" si="10"/>
        <v>1.5948615156496795</v>
      </c>
      <c r="V61" s="191">
        <f t="shared" si="11"/>
        <v>1.5615484813802343</v>
      </c>
      <c r="W61" s="175">
        <f t="shared" si="12"/>
        <v>350</v>
      </c>
      <c r="X61" s="386">
        <f t="shared" si="52"/>
        <v>316.815623110106</v>
      </c>
      <c r="Z61" s="191">
        <f t="shared" si="13"/>
        <v>0.46073894667618365</v>
      </c>
      <c r="AA61" s="153">
        <f t="shared" si="14"/>
        <v>1.4134941575574826</v>
      </c>
      <c r="AB61" s="153">
        <f t="shared" si="75"/>
        <v>0.11396906662504547</v>
      </c>
      <c r="AC61" s="153"/>
      <c r="AD61" s="153">
        <f t="shared" si="16"/>
        <v>0.46018276762402083</v>
      </c>
      <c r="AE61" s="317">
        <f t="shared" si="76"/>
        <v>1622.543735224587</v>
      </c>
      <c r="AF61" s="463">
        <f t="shared" si="77"/>
        <v>1.2079797650130546E-2</v>
      </c>
      <c r="AH61" s="153">
        <f t="shared" si="78"/>
        <v>0.45941683663883509</v>
      </c>
      <c r="AI61" s="153">
        <f t="shared" si="79"/>
        <v>0.45941683663883509</v>
      </c>
      <c r="AJ61" s="153">
        <f t="shared" si="80"/>
        <v>1.4291976567695075</v>
      </c>
      <c r="AL61" s="317">
        <f t="shared" si="81"/>
        <v>56.000000000000007</v>
      </c>
      <c r="AM61" s="147">
        <f t="shared" si="82"/>
        <v>316.815623110106</v>
      </c>
      <c r="AO61">
        <f t="shared" si="53"/>
        <v>56.000000000000007</v>
      </c>
      <c r="AP61">
        <f t="shared" si="24"/>
        <v>316.815623110106</v>
      </c>
      <c r="AR61" s="5">
        <f t="shared" si="54"/>
        <v>3.1564099970299138</v>
      </c>
      <c r="AS61" s="5">
        <f t="shared" si="25"/>
        <v>1.4395060881350166</v>
      </c>
      <c r="AT61" s="5">
        <f t="shared" si="55"/>
        <v>1.7169039088948972</v>
      </c>
      <c r="AU61" s="153">
        <f t="shared" si="56"/>
        <v>0.45605801828328646</v>
      </c>
      <c r="AW61" s="5">
        <f t="shared" si="83"/>
        <v>0.96692791308641945</v>
      </c>
      <c r="AX61" s="5">
        <f t="shared" si="84"/>
        <v>4.7164289031585174</v>
      </c>
      <c r="AY61" s="5">
        <f t="shared" si="85"/>
        <v>0.96440494504700414</v>
      </c>
      <c r="AZ61" s="5">
        <f t="shared" si="86"/>
        <v>2.3115446601217489</v>
      </c>
      <c r="BA61" s="5">
        <f t="shared" si="87"/>
        <v>0.294374833169535</v>
      </c>
      <c r="BB61" s="147">
        <f t="shared" si="88"/>
        <v>22.4638902654929</v>
      </c>
      <c r="BC61" s="5"/>
      <c r="BD61" s="153">
        <f t="shared" si="57"/>
        <v>0.17912505123892905</v>
      </c>
      <c r="BE61" s="153">
        <f t="shared" si="89"/>
        <v>0.19562419571139217</v>
      </c>
      <c r="BF61" s="153">
        <f t="shared" si="90"/>
        <v>0.19587991361428289</v>
      </c>
      <c r="BG61" s="153"/>
      <c r="BH61" s="463">
        <f t="shared" si="34"/>
        <v>1.1230024393472135E-2</v>
      </c>
      <c r="BI61" s="463">
        <f t="shared" si="35"/>
        <v>2.2065445395238158E-2</v>
      </c>
      <c r="BJ61" s="463">
        <f t="shared" si="36"/>
        <v>3.9601952888763245E-3</v>
      </c>
      <c r="BK61" s="463">
        <f t="shared" si="37"/>
        <v>1.4562468134130795E-2</v>
      </c>
      <c r="BL61">
        <f t="shared" si="38"/>
        <v>4.3499999999999997E-3</v>
      </c>
      <c r="BM61">
        <f t="shared" si="91"/>
        <v>7.9203905777526494E-6</v>
      </c>
      <c r="BN61">
        <f t="shared" si="92"/>
        <v>5.78118896331489E-2</v>
      </c>
      <c r="BO61" s="147">
        <f t="shared" si="58"/>
        <v>57.811889633148901</v>
      </c>
      <c r="BP61" s="153">
        <f t="shared" si="93"/>
        <v>5.0629383024065021E-2</v>
      </c>
      <c r="BQ61" s="153">
        <f t="shared" si="94"/>
        <v>5.0705870585959746E-2</v>
      </c>
      <c r="BR61" s="463"/>
      <c r="BT61" s="147">
        <f t="shared" si="59"/>
        <v>101.33525361002476</v>
      </c>
      <c r="BU61" s="463">
        <f t="shared" si="43"/>
        <v>3.208578398134896E-2</v>
      </c>
      <c r="BV61" s="463">
        <f t="shared" si="60"/>
        <v>3.8268825947729068E-2</v>
      </c>
      <c r="BW61" s="463">
        <f t="shared" si="95"/>
        <v>1.9184470278769466E-3</v>
      </c>
      <c r="BX61" s="463">
        <f t="shared" si="45"/>
        <v>0</v>
      </c>
      <c r="BY61" s="463">
        <f t="shared" si="96"/>
        <v>8.1416561695844214E-2</v>
      </c>
      <c r="BZ61" s="463">
        <f t="shared" si="61"/>
        <v>7.2273056956954962E-2</v>
      </c>
      <c r="CA61" s="549">
        <f t="shared" si="97"/>
        <v>3.3434159375023968E-2</v>
      </c>
      <c r="CB61" s="147">
        <f t="shared" si="62"/>
        <v>114.85072107086819</v>
      </c>
      <c r="CC61" s="153">
        <f t="shared" si="63"/>
        <v>0.27399786431404183</v>
      </c>
      <c r="CD61" s="5">
        <f t="shared" si="64"/>
        <v>1.7360000000000002</v>
      </c>
      <c r="CE61" s="153">
        <f t="shared" si="65"/>
        <v>0.8636825097286609</v>
      </c>
      <c r="CF61" s="5">
        <f t="shared" si="66"/>
        <v>86.368250972866093</v>
      </c>
      <c r="CG61">
        <f t="shared" si="102"/>
        <v>56.000000000000007</v>
      </c>
      <c r="CI61" s="59">
        <f t="shared" si="98"/>
        <v>-50</v>
      </c>
      <c r="CJ61">
        <f t="shared" si="99"/>
        <v>-50</v>
      </c>
    </row>
    <row r="62" spans="5:88" x14ac:dyDescent="0.25">
      <c r="E62" s="150">
        <v>57</v>
      </c>
      <c r="F62" s="191">
        <f t="shared" si="103"/>
        <v>5.6999999999999995E-2</v>
      </c>
      <c r="G62" s="191">
        <f t="shared" si="100"/>
        <v>5.6999999999999995E-2</v>
      </c>
      <c r="H62" s="191">
        <f t="shared" si="70"/>
        <v>0.85499999999999998</v>
      </c>
      <c r="I62" s="191">
        <f t="shared" si="104"/>
        <v>0.91199999999999992</v>
      </c>
      <c r="J62" s="472">
        <f t="shared" si="1"/>
        <v>15</v>
      </c>
      <c r="K62" s="386">
        <f t="shared" si="2"/>
        <v>15.32</v>
      </c>
      <c r="L62" s="386">
        <f t="shared" si="3"/>
        <v>30.32</v>
      </c>
      <c r="M62" s="386"/>
      <c r="N62" s="191">
        <f t="shared" si="4"/>
        <v>0.50527704485488123</v>
      </c>
      <c r="O62" s="152">
        <f t="shared" si="101"/>
        <v>1.237725019150566</v>
      </c>
      <c r="P62" s="152">
        <f t="shared" si="71"/>
        <v>2.7284960422163587</v>
      </c>
      <c r="Q62" s="191">
        <f t="shared" si="6"/>
        <v>8.25150012767044E-2</v>
      </c>
      <c r="R62" s="191">
        <f t="shared" si="72"/>
        <v>7.7357813696910374E-2</v>
      </c>
      <c r="S62" s="386">
        <f t="shared" si="73"/>
        <v>15</v>
      </c>
      <c r="T62" s="191">
        <f t="shared" si="74"/>
        <v>0.51808761241659418</v>
      </c>
      <c r="U62" s="191">
        <f t="shared" si="10"/>
        <v>1.623341185571995</v>
      </c>
      <c r="V62" s="191">
        <f t="shared" si="11"/>
        <v>1.5894332756905956</v>
      </c>
      <c r="W62" s="175">
        <f t="shared" si="12"/>
        <v>350</v>
      </c>
      <c r="X62" s="386">
        <f t="shared" si="52"/>
        <v>311.25745428361296</v>
      </c>
      <c r="Z62" s="191">
        <f t="shared" si="13"/>
        <v>0.46073894667618365</v>
      </c>
      <c r="AA62" s="153">
        <f t="shared" si="14"/>
        <v>1.4134941575574826</v>
      </c>
      <c r="AB62" s="153">
        <f t="shared" si="75"/>
        <v>0.11396906662504547</v>
      </c>
      <c r="AC62" s="153"/>
      <c r="AD62" s="153">
        <f t="shared" si="16"/>
        <v>0.46018276762402083</v>
      </c>
      <c r="AE62" s="317">
        <f t="shared" si="76"/>
        <v>1651.5177304964539</v>
      </c>
      <c r="AF62" s="463">
        <f t="shared" si="77"/>
        <v>1.2079797650130546E-2</v>
      </c>
      <c r="AH62" s="153">
        <f t="shared" si="78"/>
        <v>0.46350062216540805</v>
      </c>
      <c r="AI62" s="153">
        <f t="shared" si="79"/>
        <v>0.46350062216540805</v>
      </c>
      <c r="AJ62" s="153">
        <f t="shared" si="80"/>
        <v>1.4322226830854874</v>
      </c>
      <c r="AL62" s="317">
        <f t="shared" si="81"/>
        <v>56.999999999999993</v>
      </c>
      <c r="AM62" s="147">
        <f t="shared" si="82"/>
        <v>311.25745428361296</v>
      </c>
      <c r="AO62">
        <f t="shared" si="53"/>
        <v>56.999999999999993</v>
      </c>
      <c r="AP62">
        <f t="shared" si="24"/>
        <v>311.25745428361296</v>
      </c>
      <c r="AR62" s="5">
        <f t="shared" si="54"/>
        <v>3.2127744612625904</v>
      </c>
      <c r="AS62" s="5">
        <f t="shared" si="25"/>
        <v>1.4523019494516121</v>
      </c>
      <c r="AT62" s="5">
        <f t="shared" si="55"/>
        <v>1.7604725118109783</v>
      </c>
      <c r="AU62" s="153">
        <f t="shared" si="56"/>
        <v>0.45203980763743712</v>
      </c>
      <c r="AW62" s="5">
        <f t="shared" si="83"/>
        <v>0.96692791308641945</v>
      </c>
      <c r="AX62" s="5">
        <f t="shared" si="84"/>
        <v>4.883323184426664</v>
      </c>
      <c r="AY62" s="5">
        <f t="shared" si="85"/>
        <v>0.96440494504700414</v>
      </c>
      <c r="AZ62" s="5">
        <f t="shared" si="86"/>
        <v>2.3928012119692474</v>
      </c>
      <c r="BA62" s="5">
        <f t="shared" si="87"/>
        <v>0.307235054653827</v>
      </c>
      <c r="BB62" s="147">
        <f t="shared" si="88"/>
        <v>23.435295765703685</v>
      </c>
      <c r="BC62" s="5"/>
      <c r="BD62" s="153">
        <f t="shared" si="57"/>
        <v>0.17991941684843835</v>
      </c>
      <c r="BE62" s="153">
        <f t="shared" si="89"/>
        <v>0.19809075114744251</v>
      </c>
      <c r="BF62" s="153">
        <f t="shared" si="90"/>
        <v>0.19834969330580518</v>
      </c>
      <c r="BG62" s="153"/>
      <c r="BH62" s="463">
        <f t="shared" si="34"/>
        <v>1.1329848795678742E-2</v>
      </c>
      <c r="BI62" s="463">
        <f t="shared" si="35"/>
        <v>2.187103239505387E-2</v>
      </c>
      <c r="BJ62" s="463">
        <f t="shared" si="36"/>
        <v>3.8907181785451618E-3</v>
      </c>
      <c r="BK62" s="463">
        <f t="shared" si="37"/>
        <v>1.4306986237040784E-2</v>
      </c>
      <c r="BL62">
        <f t="shared" si="38"/>
        <v>4.3499999999999997E-3</v>
      </c>
      <c r="BM62">
        <f t="shared" si="91"/>
        <v>7.7814363570903236E-6</v>
      </c>
      <c r="BN62">
        <f t="shared" si="92"/>
        <v>5.7405895451391839E-2</v>
      </c>
      <c r="BO62" s="147">
        <f t="shared" si="58"/>
        <v>57.405895451391842</v>
      </c>
      <c r="BP62" s="153">
        <f t="shared" si="93"/>
        <v>5.1753318507280717E-2</v>
      </c>
      <c r="BQ62" s="153">
        <f t="shared" si="94"/>
        <v>5.1831747037563332E-2</v>
      </c>
      <c r="BR62" s="463"/>
      <c r="BT62" s="147">
        <f t="shared" si="59"/>
        <v>103.58506554484404</v>
      </c>
      <c r="BU62" s="463">
        <f t="shared" si="43"/>
        <v>3.237099655908212E-2</v>
      </c>
      <c r="BV62" s="463">
        <f t="shared" si="60"/>
        <v>3.9239945690157998E-2</v>
      </c>
      <c r="BW62" s="463">
        <f t="shared" si="95"/>
        <v>1.967130041725349E-3</v>
      </c>
      <c r="BX62" s="463">
        <f t="shared" si="45"/>
        <v>0</v>
      </c>
      <c r="BY62" s="463">
        <f t="shared" si="96"/>
        <v>8.2895383567860789E-2</v>
      </c>
      <c r="BZ62" s="463">
        <f t="shared" si="61"/>
        <v>7.3578072290965454E-2</v>
      </c>
      <c r="CA62" s="549">
        <f t="shared" si="97"/>
        <v>3.3434159375023968E-2</v>
      </c>
      <c r="CB62" s="147">
        <f t="shared" si="62"/>
        <v>116.32954294288476</v>
      </c>
      <c r="CC62" s="153">
        <f t="shared" si="63"/>
        <v>0.27732050393912067</v>
      </c>
      <c r="CD62" s="5">
        <f t="shared" si="64"/>
        <v>1.7669999999999999</v>
      </c>
      <c r="CE62" s="153">
        <f t="shared" si="65"/>
        <v>0.86434587756432379</v>
      </c>
      <c r="CF62" s="5">
        <f t="shared" si="66"/>
        <v>86.434587756432379</v>
      </c>
      <c r="CG62">
        <f t="shared" si="102"/>
        <v>56.999999999999993</v>
      </c>
      <c r="CI62" s="59">
        <f t="shared" si="98"/>
        <v>-50</v>
      </c>
      <c r="CJ62">
        <f t="shared" si="99"/>
        <v>-50</v>
      </c>
    </row>
    <row r="63" spans="5:88" x14ac:dyDescent="0.25">
      <c r="E63" s="150">
        <v>58</v>
      </c>
      <c r="F63" s="191">
        <f t="shared" si="103"/>
        <v>5.7999999999999996E-2</v>
      </c>
      <c r="G63" s="191">
        <f t="shared" si="100"/>
        <v>5.7999999999999996E-2</v>
      </c>
      <c r="H63" s="191">
        <f t="shared" si="70"/>
        <v>0.86999999999999988</v>
      </c>
      <c r="I63" s="191">
        <f t="shared" si="104"/>
        <v>0.92799999999999994</v>
      </c>
      <c r="J63" s="472">
        <f t="shared" si="1"/>
        <v>15</v>
      </c>
      <c r="K63" s="386">
        <f t="shared" si="2"/>
        <v>15.32</v>
      </c>
      <c r="L63" s="386">
        <f t="shared" si="3"/>
        <v>30.32</v>
      </c>
      <c r="M63" s="386"/>
      <c r="N63" s="191">
        <f t="shared" si="4"/>
        <v>0.50527704485488123</v>
      </c>
      <c r="O63" s="152">
        <f t="shared" si="101"/>
        <v>1.237725019150566</v>
      </c>
      <c r="P63" s="152">
        <f t="shared" si="71"/>
        <v>2.7284960422163587</v>
      </c>
      <c r="Q63" s="191">
        <f t="shared" si="6"/>
        <v>8.25150012767044E-2</v>
      </c>
      <c r="R63" s="191">
        <f t="shared" si="72"/>
        <v>7.7357813696910374E-2</v>
      </c>
      <c r="S63" s="386">
        <f t="shared" si="73"/>
        <v>15</v>
      </c>
      <c r="T63" s="191">
        <f t="shared" si="74"/>
        <v>0.52717686877477998</v>
      </c>
      <c r="U63" s="191">
        <f t="shared" si="10"/>
        <v>1.6518208554943103</v>
      </c>
      <c r="V63" s="191">
        <f t="shared" si="11"/>
        <v>1.6173180700009566</v>
      </c>
      <c r="W63" s="175">
        <f t="shared" si="12"/>
        <v>350</v>
      </c>
      <c r="X63" s="386">
        <f t="shared" si="52"/>
        <v>305.89094645113693</v>
      </c>
      <c r="Z63" s="191">
        <f t="shared" si="13"/>
        <v>0.46073894667618365</v>
      </c>
      <c r="AA63" s="153">
        <f t="shared" si="14"/>
        <v>1.4134941575574826</v>
      </c>
      <c r="AB63" s="153">
        <f t="shared" si="75"/>
        <v>0.11396906662504547</v>
      </c>
      <c r="AC63" s="153"/>
      <c r="AD63" s="153">
        <f t="shared" si="16"/>
        <v>0.46018276762402083</v>
      </c>
      <c r="AE63" s="317">
        <f t="shared" si="76"/>
        <v>1680.4917257683219</v>
      </c>
      <c r="AF63" s="463">
        <f t="shared" si="77"/>
        <v>1.2079797650130546E-2</v>
      </c>
      <c r="AH63" s="153">
        <f t="shared" si="78"/>
        <v>0.46754873939323877</v>
      </c>
      <c r="AI63" s="153">
        <f t="shared" si="79"/>
        <v>0.46754873939323877</v>
      </c>
      <c r="AJ63" s="153">
        <f t="shared" si="80"/>
        <v>1.4352212884394362</v>
      </c>
      <c r="AL63" s="317">
        <f t="shared" si="81"/>
        <v>57.999999999999993</v>
      </c>
      <c r="AM63" s="147">
        <f t="shared" si="82"/>
        <v>305.89094645113693</v>
      </c>
      <c r="AO63">
        <f t="shared" si="53"/>
        <v>57.999999999999993</v>
      </c>
      <c r="AP63">
        <f t="shared" si="24"/>
        <v>305.89094645113693</v>
      </c>
      <c r="AR63" s="5">
        <f t="shared" si="54"/>
        <v>3.269138925495267</v>
      </c>
      <c r="AS63" s="5">
        <f t="shared" si="25"/>
        <v>1.4649860500988148</v>
      </c>
      <c r="AT63" s="5">
        <f t="shared" si="55"/>
        <v>1.8041528753964522</v>
      </c>
      <c r="AU63" s="153">
        <f t="shared" si="56"/>
        <v>0.44812596940243915</v>
      </c>
      <c r="AW63" s="5">
        <f t="shared" si="83"/>
        <v>0.96692791308641945</v>
      </c>
      <c r="AX63" s="5">
        <f t="shared" si="84"/>
        <v>5.0531182494340712</v>
      </c>
      <c r="AY63" s="5">
        <f t="shared" si="85"/>
        <v>0.96440494504700414</v>
      </c>
      <c r="AZ63" s="5">
        <f t="shared" si="86"/>
        <v>2.4754605346459058</v>
      </c>
      <c r="BA63" s="5">
        <f t="shared" si="87"/>
        <v>0.32038191308274772</v>
      </c>
      <c r="BB63" s="147">
        <f t="shared" si="88"/>
        <v>24.428199036761633</v>
      </c>
      <c r="BC63" s="5"/>
      <c r="BD63" s="153">
        <f t="shared" si="57"/>
        <v>0.18070339801488816</v>
      </c>
      <c r="BE63" s="153">
        <f t="shared" si="89"/>
        <v>0.2005331805843491</v>
      </c>
      <c r="BF63" s="153">
        <f t="shared" si="90"/>
        <v>0.20079531546092996</v>
      </c>
      <c r="BG63" s="153"/>
      <c r="BH63" s="463">
        <f t="shared" si="34"/>
        <v>1.1428801318944481E-2</v>
      </c>
      <c r="BI63" s="463">
        <f t="shared" si="35"/>
        <v>2.1681669243003122E-2</v>
      </c>
      <c r="BJ63" s="463">
        <f t="shared" si="36"/>
        <v>3.823636830639212E-3</v>
      </c>
      <c r="BK63" s="463">
        <f t="shared" si="37"/>
        <v>1.4060314060540082E-2</v>
      </c>
      <c r="BL63">
        <f t="shared" si="38"/>
        <v>4.3499999999999997E-3</v>
      </c>
      <c r="BM63">
        <f t="shared" si="91"/>
        <v>7.6472736612784236E-6</v>
      </c>
      <c r="BN63">
        <f t="shared" si="92"/>
        <v>5.7015179902468849E-2</v>
      </c>
      <c r="BO63" s="147">
        <f t="shared" si="58"/>
        <v>57.015179902468851</v>
      </c>
      <c r="BP63" s="153">
        <f t="shared" si="93"/>
        <v>5.2879157177670229E-2</v>
      </c>
      <c r="BQ63" s="153">
        <f t="shared" si="94"/>
        <v>5.2959531655245549E-2</v>
      </c>
      <c r="BR63" s="463"/>
      <c r="BT63" s="147">
        <f t="shared" si="59"/>
        <v>105.83868883291578</v>
      </c>
      <c r="BU63" s="463">
        <f t="shared" si="43"/>
        <v>3.265371805412709E-2</v>
      </c>
      <c r="BV63" s="463">
        <f t="shared" si="60"/>
        <v>4.0213556515275167E-2</v>
      </c>
      <c r="BW63" s="463">
        <f t="shared" si="95"/>
        <v>2.0159379355527188E-3</v>
      </c>
      <c r="BX63" s="463">
        <f t="shared" si="45"/>
        <v>0</v>
      </c>
      <c r="BY63" s="463">
        <f t="shared" si="96"/>
        <v>8.4374657638990644E-2</v>
      </c>
      <c r="BZ63" s="463">
        <f t="shared" si="61"/>
        <v>7.4883212504954971E-2</v>
      </c>
      <c r="CA63" s="549">
        <f t="shared" si="97"/>
        <v>3.3434159375023968E-2</v>
      </c>
      <c r="CB63" s="147">
        <f t="shared" si="62"/>
        <v>117.80881701401461</v>
      </c>
      <c r="CC63" s="153">
        <f t="shared" si="63"/>
        <v>0.28066268574939923</v>
      </c>
      <c r="CD63" s="5">
        <f t="shared" si="64"/>
        <v>1.7979999999999998</v>
      </c>
      <c r="CE63" s="153">
        <f t="shared" si="65"/>
        <v>0.86497920625913638</v>
      </c>
      <c r="CF63" s="5">
        <f t="shared" si="66"/>
        <v>86.497920625913636</v>
      </c>
      <c r="CG63">
        <f t="shared" si="102"/>
        <v>57.999999999999993</v>
      </c>
      <c r="CI63" s="59">
        <f t="shared" si="98"/>
        <v>-50</v>
      </c>
      <c r="CJ63">
        <f t="shared" si="99"/>
        <v>-50</v>
      </c>
    </row>
    <row r="64" spans="5:88" x14ac:dyDescent="0.25">
      <c r="E64" s="150">
        <v>59</v>
      </c>
      <c r="F64" s="191">
        <f t="shared" si="103"/>
        <v>5.8999999999999997E-2</v>
      </c>
      <c r="G64" s="191">
        <f t="shared" si="100"/>
        <v>5.8999999999999997E-2</v>
      </c>
      <c r="H64" s="191">
        <f t="shared" si="70"/>
        <v>0.88500000000000001</v>
      </c>
      <c r="I64" s="191">
        <f t="shared" si="104"/>
        <v>0.94399999999999995</v>
      </c>
      <c r="J64" s="472">
        <f t="shared" si="1"/>
        <v>15</v>
      </c>
      <c r="K64" s="386">
        <f t="shared" si="2"/>
        <v>15.32</v>
      </c>
      <c r="L64" s="386">
        <f t="shared" si="3"/>
        <v>30.32</v>
      </c>
      <c r="M64" s="386"/>
      <c r="N64" s="191">
        <f t="shared" si="4"/>
        <v>0.50527704485488123</v>
      </c>
      <c r="O64" s="152">
        <f t="shared" si="101"/>
        <v>1.237725019150566</v>
      </c>
      <c r="P64" s="152">
        <f t="shared" si="71"/>
        <v>2.7284960422163587</v>
      </c>
      <c r="Q64" s="191">
        <f t="shared" si="6"/>
        <v>8.25150012767044E-2</v>
      </c>
      <c r="R64" s="191">
        <f t="shared" si="72"/>
        <v>7.7357813696910374E-2</v>
      </c>
      <c r="S64" s="386">
        <f t="shared" si="73"/>
        <v>15</v>
      </c>
      <c r="T64" s="191">
        <f t="shared" si="74"/>
        <v>0.5362661251329659</v>
      </c>
      <c r="U64" s="191">
        <f t="shared" si="10"/>
        <v>1.6803005254166263</v>
      </c>
      <c r="V64" s="191">
        <f t="shared" si="11"/>
        <v>1.6452028643113181</v>
      </c>
      <c r="W64" s="175">
        <f t="shared" si="12"/>
        <v>350</v>
      </c>
      <c r="X64" s="386">
        <f t="shared" si="52"/>
        <v>300.70635413840574</v>
      </c>
      <c r="Z64" s="191">
        <f t="shared" si="13"/>
        <v>0.46073894667618365</v>
      </c>
      <c r="AA64" s="153">
        <f t="shared" si="14"/>
        <v>1.4134941575574826</v>
      </c>
      <c r="AB64" s="153">
        <f t="shared" si="75"/>
        <v>0.11396906662504547</v>
      </c>
      <c r="AC64" s="153"/>
      <c r="AD64" s="153">
        <f t="shared" si="16"/>
        <v>0.46018276762402083</v>
      </c>
      <c r="AE64" s="317">
        <f t="shared" si="76"/>
        <v>1709.4657210401895</v>
      </c>
      <c r="AF64" s="463">
        <f t="shared" si="77"/>
        <v>1.2079797650130546E-2</v>
      </c>
      <c r="AH64" s="153">
        <f t="shared" si="78"/>
        <v>0.47156210690501099</v>
      </c>
      <c r="AI64" s="153">
        <f t="shared" si="79"/>
        <v>0.47156210690501099</v>
      </c>
      <c r="AJ64" s="153">
        <f t="shared" si="80"/>
        <v>1.438194153262971</v>
      </c>
      <c r="AL64" s="317">
        <f t="shared" si="81"/>
        <v>59</v>
      </c>
      <c r="AM64" s="147">
        <f t="shared" si="82"/>
        <v>300.70635413840574</v>
      </c>
      <c r="AO64">
        <f t="shared" si="53"/>
        <v>59</v>
      </c>
      <c r="AP64">
        <f t="shared" si="24"/>
        <v>300.70635413840574</v>
      </c>
      <c r="AR64" s="5">
        <f t="shared" si="54"/>
        <v>3.3255033897279445</v>
      </c>
      <c r="AS64" s="5">
        <f t="shared" si="25"/>
        <v>1.4775612683023678</v>
      </c>
      <c r="AT64" s="5">
        <f t="shared" si="55"/>
        <v>1.8479421214255767</v>
      </c>
      <c r="AU64" s="153">
        <f t="shared" si="56"/>
        <v>0.44431206200732376</v>
      </c>
      <c r="AW64" s="5">
        <f t="shared" si="83"/>
        <v>0.96692791308641945</v>
      </c>
      <c r="AX64" s="5">
        <f t="shared" si="84"/>
        <v>5.2258140981807379</v>
      </c>
      <c r="AY64" s="5">
        <f t="shared" si="85"/>
        <v>0.96440494504700414</v>
      </c>
      <c r="AZ64" s="5">
        <f t="shared" si="86"/>
        <v>2.5595226281517234</v>
      </c>
      <c r="BA64" s="5">
        <f t="shared" si="87"/>
        <v>0.3338159150703584</v>
      </c>
      <c r="BB64" s="147">
        <f t="shared" si="88"/>
        <v>25.442638074721334</v>
      </c>
      <c r="BC64" s="5"/>
      <c r="BD64" s="153">
        <f t="shared" si="57"/>
        <v>0.18147730607578072</v>
      </c>
      <c r="BE64" s="153">
        <f t="shared" si="89"/>
        <v>0.2029521970047177</v>
      </c>
      <c r="BF64" s="153">
        <f t="shared" si="90"/>
        <v>0.20321749399426633</v>
      </c>
      <c r="BG64" s="153"/>
      <c r="BH64" s="463">
        <f t="shared" si="34"/>
        <v>1.1526904417182909E-2</v>
      </c>
      <c r="BI64" s="463">
        <f t="shared" si="35"/>
        <v>2.1497141042652219E-2</v>
      </c>
      <c r="BJ64" s="463">
        <f t="shared" si="36"/>
        <v>3.7588294267300718E-3</v>
      </c>
      <c r="BK64" s="463">
        <f t="shared" si="37"/>
        <v>1.3822003652734317E-2</v>
      </c>
      <c r="BL64">
        <f t="shared" si="38"/>
        <v>4.3499999999999997E-3</v>
      </c>
      <c r="BM64">
        <f t="shared" si="91"/>
        <v>7.5176588534601436E-6</v>
      </c>
      <c r="BN64">
        <f t="shared" si="92"/>
        <v>5.6638983205353315E-2</v>
      </c>
      <c r="BO64" s="147">
        <f t="shared" si="58"/>
        <v>56.638983205353313</v>
      </c>
      <c r="BP64" s="153">
        <f t="shared" si="93"/>
        <v>5.4006850021547891E-2</v>
      </c>
      <c r="BQ64" s="153">
        <f t="shared" si="94"/>
        <v>5.4089175297096601E-2</v>
      </c>
      <c r="BR64" s="463"/>
      <c r="BT64" s="147">
        <f t="shared" si="59"/>
        <v>108.09602531864448</v>
      </c>
      <c r="BU64" s="463">
        <f t="shared" si="43"/>
        <v>3.2934012620522597E-2</v>
      </c>
      <c r="BV64" s="463">
        <f t="shared" si="60"/>
        <v>4.1189594269041743E-2</v>
      </c>
      <c r="BW64" s="463">
        <f t="shared" si="95"/>
        <v>2.0648674932654838E-3</v>
      </c>
      <c r="BX64" s="463">
        <f t="shared" si="45"/>
        <v>0</v>
      </c>
      <c r="BY64" s="463">
        <f t="shared" si="96"/>
        <v>8.5854380450014978E-2</v>
      </c>
      <c r="BZ64" s="463">
        <f t="shared" si="61"/>
        <v>7.6188474382829829E-2</v>
      </c>
      <c r="CA64" s="549">
        <f t="shared" si="97"/>
        <v>3.3434159375023968E-2</v>
      </c>
      <c r="CB64" s="147">
        <f t="shared" si="62"/>
        <v>119.28853982503895</v>
      </c>
      <c r="CC64" s="153">
        <f t="shared" si="63"/>
        <v>0.28402354834903676</v>
      </c>
      <c r="CD64" s="5">
        <f t="shared" si="64"/>
        <v>1.829</v>
      </c>
      <c r="CE64" s="153">
        <f t="shared" si="65"/>
        <v>0.86558429574958973</v>
      </c>
      <c r="CF64" s="5">
        <f t="shared" si="66"/>
        <v>86.558429574958978</v>
      </c>
      <c r="CG64">
        <f t="shared" si="102"/>
        <v>59</v>
      </c>
      <c r="CI64" s="59">
        <f t="shared" si="98"/>
        <v>-50</v>
      </c>
      <c r="CJ64">
        <f t="shared" si="99"/>
        <v>-50</v>
      </c>
    </row>
    <row r="65" spans="5:88" x14ac:dyDescent="0.25">
      <c r="E65" s="150">
        <v>60</v>
      </c>
      <c r="F65" s="191">
        <f t="shared" si="103"/>
        <v>0.06</v>
      </c>
      <c r="G65" s="191">
        <f t="shared" si="100"/>
        <v>0.06</v>
      </c>
      <c r="H65" s="191">
        <f t="shared" si="70"/>
        <v>0.89999999999999991</v>
      </c>
      <c r="I65" s="191">
        <f t="shared" si="104"/>
        <v>0.96</v>
      </c>
      <c r="J65" s="472">
        <f t="shared" si="1"/>
        <v>15</v>
      </c>
      <c r="K65" s="386">
        <f t="shared" si="2"/>
        <v>15.32</v>
      </c>
      <c r="L65" s="386">
        <f t="shared" si="3"/>
        <v>30.32</v>
      </c>
      <c r="M65" s="386"/>
      <c r="N65" s="191">
        <f t="shared" si="4"/>
        <v>0.50527704485488123</v>
      </c>
      <c r="O65" s="152">
        <f t="shared" si="101"/>
        <v>1.237725019150566</v>
      </c>
      <c r="P65" s="152">
        <f t="shared" si="71"/>
        <v>2.7284960422163587</v>
      </c>
      <c r="Q65" s="191">
        <f t="shared" si="6"/>
        <v>8.25150012767044E-2</v>
      </c>
      <c r="R65" s="191">
        <f t="shared" si="72"/>
        <v>7.7357813696910374E-2</v>
      </c>
      <c r="S65" s="386">
        <f t="shared" si="73"/>
        <v>15</v>
      </c>
      <c r="T65" s="191">
        <f t="shared" si="74"/>
        <v>0.5453553814911517</v>
      </c>
      <c r="U65" s="191">
        <f t="shared" si="10"/>
        <v>1.7087801953389419</v>
      </c>
      <c r="V65" s="191">
        <f t="shared" si="11"/>
        <v>1.6730876586216792</v>
      </c>
      <c r="W65" s="175">
        <f t="shared" si="12"/>
        <v>350</v>
      </c>
      <c r="X65" s="386">
        <f t="shared" si="52"/>
        <v>295.69458156943233</v>
      </c>
      <c r="Z65" s="191">
        <f t="shared" si="13"/>
        <v>0.46073894667618365</v>
      </c>
      <c r="AA65" s="153">
        <f t="shared" si="14"/>
        <v>1.4134941575574826</v>
      </c>
      <c r="AB65" s="153">
        <f t="shared" si="75"/>
        <v>0.11396906662504547</v>
      </c>
      <c r="AC65" s="153"/>
      <c r="AD65" s="153">
        <f t="shared" si="16"/>
        <v>0.46018276762402083</v>
      </c>
      <c r="AE65" s="317">
        <f t="shared" si="76"/>
        <v>1738.4397163120568</v>
      </c>
      <c r="AF65" s="463">
        <f t="shared" si="77"/>
        <v>1.2079797650130546E-2</v>
      </c>
      <c r="AH65" s="153">
        <f t="shared" si="78"/>
        <v>0.475541604519709</v>
      </c>
      <c r="AI65" s="153">
        <f t="shared" si="79"/>
        <v>0.475541604519709</v>
      </c>
      <c r="AJ65" s="153">
        <f t="shared" si="80"/>
        <v>1.4411419292738585</v>
      </c>
      <c r="AL65" s="317">
        <f t="shared" si="81"/>
        <v>60</v>
      </c>
      <c r="AM65" s="147">
        <f t="shared" si="82"/>
        <v>295.69458156943233</v>
      </c>
      <c r="AO65">
        <f t="shared" si="53"/>
        <v>60</v>
      </c>
      <c r="AP65">
        <f t="shared" si="24"/>
        <v>295.69458156943233</v>
      </c>
      <c r="AR65" s="5">
        <f t="shared" si="54"/>
        <v>3.3818678539606211</v>
      </c>
      <c r="AS65" s="5">
        <f t="shared" si="25"/>
        <v>1.4900303608284216</v>
      </c>
      <c r="AT65" s="5">
        <f t="shared" si="55"/>
        <v>1.8918374931321995</v>
      </c>
      <c r="AU65" s="153">
        <f t="shared" si="56"/>
        <v>0.44059390407091042</v>
      </c>
      <c r="AW65" s="5">
        <f t="shared" si="83"/>
        <v>0.96692791308641945</v>
      </c>
      <c r="AX65" s="5">
        <f t="shared" si="84"/>
        <v>5.4014107306666643</v>
      </c>
      <c r="AY65" s="5">
        <f t="shared" si="85"/>
        <v>0.96440494504700414</v>
      </c>
      <c r="AZ65" s="5">
        <f t="shared" si="86"/>
        <v>2.6449874924867012</v>
      </c>
      <c r="BA65" s="5">
        <f t="shared" si="87"/>
        <v>0.34753755429391514</v>
      </c>
      <c r="BB65" s="147">
        <f t="shared" si="88"/>
        <v>26.478649905376969</v>
      </c>
      <c r="BC65" s="5"/>
      <c r="BD65" s="153">
        <f t="shared" si="57"/>
        <v>0.18224143794713998</v>
      </c>
      <c r="BE65" s="153">
        <f t="shared" si="89"/>
        <v>0.20534847821370669</v>
      </c>
      <c r="BF65" s="153">
        <f t="shared" si="90"/>
        <v>0.20561690759699258</v>
      </c>
      <c r="BG65" s="153"/>
      <c r="BH65" s="463">
        <f t="shared" si="34"/>
        <v>1.1624179596764444E-2</v>
      </c>
      <c r="BI65" s="463">
        <f t="shared" si="35"/>
        <v>2.1317245486324472E-2</v>
      </c>
      <c r="BJ65" s="463">
        <f t="shared" si="36"/>
        <v>3.6961822696179041E-3</v>
      </c>
      <c r="BK65" s="463">
        <f t="shared" si="37"/>
        <v>1.3591636925188746E-2</v>
      </c>
      <c r="BL65">
        <f t="shared" si="38"/>
        <v>4.3499999999999997E-3</v>
      </c>
      <c r="BM65">
        <f t="shared" si="91"/>
        <v>7.392364539235808E-6</v>
      </c>
      <c r="BN65">
        <f t="shared" si="92"/>
        <v>5.6276595114383883E-2</v>
      </c>
      <c r="BO65" s="147">
        <f t="shared" si="58"/>
        <v>56.276595114383881</v>
      </c>
      <c r="BP65" s="153">
        <f t="shared" si="93"/>
        <v>5.5136350093579478E-2</v>
      </c>
      <c r="BQ65" s="153">
        <f t="shared" si="94"/>
        <v>5.5220630894969147E-2</v>
      </c>
      <c r="BR65" s="463"/>
      <c r="BT65" s="147">
        <f t="shared" si="59"/>
        <v>110.35698098854863</v>
      </c>
      <c r="BU65" s="463">
        <f t="shared" si="43"/>
        <v>3.321194170504127E-2</v>
      </c>
      <c r="BV65" s="463">
        <f t="shared" si="60"/>
        <v>4.2167997504685174E-2</v>
      </c>
      <c r="BW65" s="463">
        <f t="shared" si="95"/>
        <v>2.1139156344875095E-3</v>
      </c>
      <c r="BX65" s="463">
        <f t="shared" si="45"/>
        <v>0</v>
      </c>
      <c r="BY65" s="463">
        <f t="shared" si="96"/>
        <v>8.7334548692661565E-2</v>
      </c>
      <c r="BZ65" s="463">
        <f t="shared" si="61"/>
        <v>7.749385484421395E-2</v>
      </c>
      <c r="CA65" s="549">
        <f t="shared" si="97"/>
        <v>3.3434159375023961E-2</v>
      </c>
      <c r="CB65" s="147">
        <f t="shared" si="62"/>
        <v>120.76870806768552</v>
      </c>
      <c r="CC65" s="153">
        <f t="shared" si="63"/>
        <v>0.28740228417061803</v>
      </c>
      <c r="CD65" s="5">
        <f t="shared" si="64"/>
        <v>1.8599999999999999</v>
      </c>
      <c r="CE65" s="153">
        <f t="shared" si="65"/>
        <v>0.86616281155646624</v>
      </c>
      <c r="CF65" s="5">
        <f t="shared" si="66"/>
        <v>86.616281155646618</v>
      </c>
      <c r="CG65">
        <f t="shared" si="102"/>
        <v>60</v>
      </c>
      <c r="CI65" s="59">
        <f t="shared" si="98"/>
        <v>-50</v>
      </c>
      <c r="CJ65">
        <f t="shared" si="99"/>
        <v>-50</v>
      </c>
    </row>
    <row r="66" spans="5:88" x14ac:dyDescent="0.25">
      <c r="E66" s="150">
        <v>61</v>
      </c>
      <c r="F66" s="191">
        <f t="shared" si="103"/>
        <v>6.0999999999999999E-2</v>
      </c>
      <c r="G66" s="191">
        <f t="shared" si="100"/>
        <v>6.0999999999999999E-2</v>
      </c>
      <c r="H66" s="191">
        <f t="shared" si="70"/>
        <v>0.91500000000000004</v>
      </c>
      <c r="I66" s="191">
        <f t="shared" si="104"/>
        <v>0.97599999999999998</v>
      </c>
      <c r="J66" s="472">
        <f t="shared" si="1"/>
        <v>15</v>
      </c>
      <c r="K66" s="386">
        <f t="shared" si="2"/>
        <v>15.32</v>
      </c>
      <c r="L66" s="386">
        <f t="shared" si="3"/>
        <v>30.32</v>
      </c>
      <c r="M66" s="386"/>
      <c r="N66" s="191">
        <f t="shared" si="4"/>
        <v>0.50527704485488123</v>
      </c>
      <c r="O66" s="152">
        <f t="shared" si="101"/>
        <v>1.237725019150566</v>
      </c>
      <c r="P66" s="152">
        <f t="shared" si="71"/>
        <v>2.7284960422163587</v>
      </c>
      <c r="Q66" s="191">
        <f t="shared" si="6"/>
        <v>8.25150012767044E-2</v>
      </c>
      <c r="R66" s="191">
        <f t="shared" si="72"/>
        <v>7.7357813696910374E-2</v>
      </c>
      <c r="S66" s="386">
        <f t="shared" si="73"/>
        <v>15</v>
      </c>
      <c r="T66" s="191">
        <f t="shared" si="74"/>
        <v>0.55444463784933762</v>
      </c>
      <c r="U66" s="191">
        <f t="shared" si="10"/>
        <v>1.7372598652612579</v>
      </c>
      <c r="V66" s="191">
        <f t="shared" si="11"/>
        <v>1.7009724529320409</v>
      </c>
      <c r="W66" s="175">
        <f t="shared" si="12"/>
        <v>350</v>
      </c>
      <c r="X66" s="386">
        <f t="shared" si="52"/>
        <v>290.84712941255634</v>
      </c>
      <c r="Z66" s="191">
        <f t="shared" si="13"/>
        <v>0.46073894667618365</v>
      </c>
      <c r="AA66" s="153">
        <f t="shared" si="14"/>
        <v>1.4134941575574826</v>
      </c>
      <c r="AB66" s="153">
        <f t="shared" si="75"/>
        <v>0.11396906662504547</v>
      </c>
      <c r="AC66" s="153"/>
      <c r="AD66" s="153">
        <f t="shared" si="16"/>
        <v>0.46018276762402083</v>
      </c>
      <c r="AE66" s="317">
        <f t="shared" si="76"/>
        <v>1767.4137115839246</v>
      </c>
      <c r="AF66" s="463">
        <f t="shared" si="77"/>
        <v>1.2079797650130546E-2</v>
      </c>
      <c r="AH66" s="153">
        <f t="shared" si="78"/>
        <v>0.47948807554481027</v>
      </c>
      <c r="AI66" s="153">
        <f t="shared" si="79"/>
        <v>0.47948807554481027</v>
      </c>
      <c r="AJ66" s="153">
        <f t="shared" si="80"/>
        <v>1.4440652411443038</v>
      </c>
      <c r="AL66" s="317">
        <f t="shared" si="81"/>
        <v>61</v>
      </c>
      <c r="AM66" s="147">
        <f t="shared" si="82"/>
        <v>290.84712941255634</v>
      </c>
      <c r="AO66">
        <f t="shared" si="53"/>
        <v>61</v>
      </c>
      <c r="AP66">
        <f t="shared" si="24"/>
        <v>290.84712941255634</v>
      </c>
      <c r="AR66" s="5">
        <f t="shared" si="54"/>
        <v>3.438232318193299</v>
      </c>
      <c r="AS66" s="5">
        <f t="shared" si="25"/>
        <v>1.5023959700404055</v>
      </c>
      <c r="AT66" s="5">
        <f t="shared" si="55"/>
        <v>1.9358363481528935</v>
      </c>
      <c r="AU66" s="153">
        <f t="shared" si="56"/>
        <v>0.43696755512724494</v>
      </c>
      <c r="AW66" s="5">
        <f t="shared" si="83"/>
        <v>0.96692791308641945</v>
      </c>
      <c r="AX66" s="5">
        <f t="shared" si="84"/>
        <v>5.5799081468918494</v>
      </c>
      <c r="AY66" s="5">
        <f t="shared" si="85"/>
        <v>0.96440494504700414</v>
      </c>
      <c r="AZ66" s="5">
        <f t="shared" si="86"/>
        <v>2.7318551276508374</v>
      </c>
      <c r="BA66" s="5">
        <f t="shared" si="87"/>
        <v>0.36154731203527124</v>
      </c>
      <c r="BB66" s="147">
        <f t="shared" si="88"/>
        <v>27.536270624867566</v>
      </c>
      <c r="BC66" s="5"/>
      <c r="BD66" s="153">
        <f t="shared" si="57"/>
        <v>0.18299607701938064</v>
      </c>
      <c r="BE66" s="153">
        <f t="shared" si="89"/>
        <v>0.20772266926218108</v>
      </c>
      <c r="BF66" s="153">
        <f t="shared" si="90"/>
        <v>0.20799420216317741</v>
      </c>
      <c r="BG66" s="153"/>
      <c r="BH66" s="463">
        <f t="shared" si="34"/>
        <v>1.1720647471569083E-2</v>
      </c>
      <c r="BI66" s="463">
        <f t="shared" si="35"/>
        <v>2.1141791922539468E-2</v>
      </c>
      <c r="BJ66" s="463">
        <f t="shared" si="36"/>
        <v>3.6355891176569543E-3</v>
      </c>
      <c r="BK66" s="463">
        <f t="shared" si="37"/>
        <v>1.3368823205103681E-2</v>
      </c>
      <c r="BL66">
        <f t="shared" si="38"/>
        <v>4.3499999999999997E-3</v>
      </c>
      <c r="BM66">
        <f t="shared" si="91"/>
        <v>7.2711782353139086E-6</v>
      </c>
      <c r="BN66">
        <f t="shared" si="92"/>
        <v>5.5927350932780014E-2</v>
      </c>
      <c r="BO66" s="147">
        <f t="shared" si="58"/>
        <v>55.927350932780016</v>
      </c>
      <c r="BP66" s="153">
        <f t="shared" si="93"/>
        <v>5.6267612396609788E-2</v>
      </c>
      <c r="BQ66" s="153">
        <f t="shared" si="94"/>
        <v>5.635385333399149E-2</v>
      </c>
      <c r="BR66" s="463"/>
      <c r="BT66" s="147">
        <f t="shared" si="59"/>
        <v>112.62146573060127</v>
      </c>
      <c r="BU66" s="463">
        <f t="shared" si="43"/>
        <v>3.3487564204483095E-2</v>
      </c>
      <c r="BV66" s="463">
        <f t="shared" si="60"/>
        <v>4.3148707325405468E-2</v>
      </c>
      <c r="BW66" s="463">
        <f t="shared" si="95"/>
        <v>2.1630794066748358E-3</v>
      </c>
      <c r="BX66" s="463">
        <f t="shared" si="45"/>
        <v>0</v>
      </c>
      <c r="BY66" s="463">
        <f t="shared" si="96"/>
        <v>8.8815159200819171E-2</v>
      </c>
      <c r="BZ66" s="463">
        <f t="shared" si="61"/>
        <v>7.8799350936563387E-2</v>
      </c>
      <c r="CA66" s="549">
        <f t="shared" si="97"/>
        <v>3.3434159375023961E-2</v>
      </c>
      <c r="CB66" s="147">
        <f t="shared" si="62"/>
        <v>122.24931857584313</v>
      </c>
      <c r="CC66" s="153">
        <f t="shared" si="63"/>
        <v>0.29079813523922443</v>
      </c>
      <c r="CD66" s="5">
        <f t="shared" si="64"/>
        <v>1.891</v>
      </c>
      <c r="CE66" s="153">
        <f t="shared" si="65"/>
        <v>0.86671629673597661</v>
      </c>
      <c r="CF66" s="5">
        <f t="shared" si="66"/>
        <v>86.671629673597664</v>
      </c>
      <c r="CG66">
        <f t="shared" si="102"/>
        <v>61</v>
      </c>
      <c r="CI66" s="59">
        <f t="shared" si="98"/>
        <v>-50</v>
      </c>
      <c r="CJ66">
        <f t="shared" si="99"/>
        <v>-50</v>
      </c>
    </row>
    <row r="67" spans="5:88" x14ac:dyDescent="0.25">
      <c r="E67" s="150">
        <v>62</v>
      </c>
      <c r="F67" s="191">
        <f t="shared" si="103"/>
        <v>6.2E-2</v>
      </c>
      <c r="G67" s="191">
        <f t="shared" si="100"/>
        <v>6.2E-2</v>
      </c>
      <c r="H67" s="191">
        <f t="shared" si="70"/>
        <v>0.92999999999999994</v>
      </c>
      <c r="I67" s="191">
        <f t="shared" si="104"/>
        <v>0.99199999999999999</v>
      </c>
      <c r="J67" s="472">
        <f t="shared" si="1"/>
        <v>15</v>
      </c>
      <c r="K67" s="386">
        <f t="shared" si="2"/>
        <v>15.32</v>
      </c>
      <c r="L67" s="386">
        <f t="shared" si="3"/>
        <v>30.32</v>
      </c>
      <c r="M67" s="386"/>
      <c r="N67" s="191">
        <f t="shared" si="4"/>
        <v>0.50527704485488123</v>
      </c>
      <c r="O67" s="152">
        <f t="shared" si="101"/>
        <v>1.237725019150566</v>
      </c>
      <c r="P67" s="152">
        <f t="shared" si="71"/>
        <v>2.7284960422163587</v>
      </c>
      <c r="Q67" s="191">
        <f t="shared" si="6"/>
        <v>8.25150012767044E-2</v>
      </c>
      <c r="R67" s="191">
        <f t="shared" si="72"/>
        <v>7.7357813696910374E-2</v>
      </c>
      <c r="S67" s="386">
        <f t="shared" si="73"/>
        <v>15</v>
      </c>
      <c r="T67" s="191">
        <f t="shared" si="74"/>
        <v>0.56353389420752353</v>
      </c>
      <c r="U67" s="191">
        <f t="shared" si="10"/>
        <v>1.7657395351835736</v>
      </c>
      <c r="V67" s="191">
        <f t="shared" si="11"/>
        <v>1.7288572472424022</v>
      </c>
      <c r="W67" s="175">
        <f t="shared" si="12"/>
        <v>350</v>
      </c>
      <c r="X67" s="386">
        <f t="shared" si="52"/>
        <v>286.15604668009576</v>
      </c>
      <c r="Z67" s="191">
        <f t="shared" si="13"/>
        <v>0.46073894667618365</v>
      </c>
      <c r="AA67" s="153">
        <f t="shared" si="14"/>
        <v>1.4134941575574826</v>
      </c>
      <c r="AB67" s="153">
        <f t="shared" si="75"/>
        <v>0.11396906662504547</v>
      </c>
      <c r="AC67" s="153"/>
      <c r="AD67" s="153">
        <f t="shared" si="16"/>
        <v>0.46018276762402083</v>
      </c>
      <c r="AE67" s="317">
        <f t="shared" si="76"/>
        <v>1796.3877068557924</v>
      </c>
      <c r="AF67" s="463">
        <f t="shared" si="77"/>
        <v>1.2079797650130546E-2</v>
      </c>
      <c r="AH67" s="153">
        <f t="shared" si="78"/>
        <v>0.48340232886297929</v>
      </c>
      <c r="AI67" s="153">
        <f t="shared" si="79"/>
        <v>0.48340232886297929</v>
      </c>
      <c r="AJ67" s="153">
        <f t="shared" si="80"/>
        <v>1.4469646880466513</v>
      </c>
      <c r="AL67" s="317">
        <f t="shared" si="81"/>
        <v>62</v>
      </c>
      <c r="AM67" s="147">
        <f t="shared" si="82"/>
        <v>286.15604668009576</v>
      </c>
      <c r="AO67">
        <f t="shared" si="53"/>
        <v>62</v>
      </c>
      <c r="AP67">
        <f t="shared" si="24"/>
        <v>286.15604668009576</v>
      </c>
      <c r="AR67" s="5">
        <f t="shared" si="54"/>
        <v>3.494596782425976</v>
      </c>
      <c r="AS67" s="5">
        <f t="shared" si="25"/>
        <v>1.5146606304373349</v>
      </c>
      <c r="AT67" s="5">
        <f t="shared" si="55"/>
        <v>1.9799361519886411</v>
      </c>
      <c r="AU67" s="153">
        <f t="shared" si="56"/>
        <v>0.43342929806792924</v>
      </c>
      <c r="AW67" s="5">
        <f t="shared" si="83"/>
        <v>0.96692791308641945</v>
      </c>
      <c r="AX67" s="5">
        <f t="shared" si="84"/>
        <v>5.7613063468562933</v>
      </c>
      <c r="AY67" s="5">
        <f t="shared" si="85"/>
        <v>0.96440494504700414</v>
      </c>
      <c r="AZ67" s="5">
        <f t="shared" si="86"/>
        <v>2.8201255336441333</v>
      </c>
      <c r="BA67" s="5">
        <f t="shared" si="87"/>
        <v>0.37584565769107831</v>
      </c>
      <c r="BB67" s="147">
        <f t="shared" si="88"/>
        <v>28.615535437941979</v>
      </c>
      <c r="BC67" s="5"/>
      <c r="BD67" s="153">
        <f t="shared" si="57"/>
        <v>0.18374149398383244</v>
      </c>
      <c r="BE67" s="153">
        <f t="shared" si="89"/>
        <v>0.2100753846566511</v>
      </c>
      <c r="BF67" s="153">
        <f t="shared" si="90"/>
        <v>0.21034999300260751</v>
      </c>
      <c r="BG67" s="153"/>
      <c r="BH67" s="463">
        <f t="shared" si="34"/>
        <v>1.1816327813993756E-2</v>
      </c>
      <c r="BI67" s="463">
        <f t="shared" si="35"/>
        <v>2.0970600506520668E-2</v>
      </c>
      <c r="BJ67" s="463">
        <f t="shared" si="36"/>
        <v>3.5769505835011968E-3</v>
      </c>
      <c r="BK67" s="463">
        <f t="shared" si="37"/>
        <v>1.3153197024376204E-2</v>
      </c>
      <c r="BL67">
        <f t="shared" si="38"/>
        <v>4.3499999999999997E-3</v>
      </c>
      <c r="BM67">
        <f t="shared" si="91"/>
        <v>7.1539011670023936E-6</v>
      </c>
      <c r="BN67">
        <f t="shared" si="92"/>
        <v>5.5590627906210846E-2</v>
      </c>
      <c r="BO67" s="147">
        <f t="shared" si="58"/>
        <v>55.590627906210848</v>
      </c>
      <c r="BP67" s="153">
        <f t="shared" si="93"/>
        <v>5.7400593770320904E-2</v>
      </c>
      <c r="BQ67" s="153">
        <f t="shared" si="94"/>
        <v>5.7488799340934538E-2</v>
      </c>
      <c r="BR67" s="463"/>
      <c r="BT67" s="147">
        <f t="shared" si="59"/>
        <v>114.88939311125544</v>
      </c>
      <c r="BU67" s="463">
        <f t="shared" si="43"/>
        <v>3.3760936611410733E-2</v>
      </c>
      <c r="BV67" s="463">
        <f t="shared" si="60"/>
        <v>4.413166723863992E-2</v>
      </c>
      <c r="BW67" s="463">
        <f t="shared" si="95"/>
        <v>2.2123559778098514E-3</v>
      </c>
      <c r="BX67" s="463">
        <f t="shared" si="45"/>
        <v>0</v>
      </c>
      <c r="BY67" s="463">
        <f t="shared" si="96"/>
        <v>9.029620894239887E-2</v>
      </c>
      <c r="BZ67" s="463">
        <f t="shared" si="61"/>
        <v>8.0104959827860492E-2</v>
      </c>
      <c r="CA67" s="549">
        <f t="shared" si="97"/>
        <v>3.3434159375023968E-2</v>
      </c>
      <c r="CB67" s="147">
        <f t="shared" si="62"/>
        <v>123.73036831742284</v>
      </c>
      <c r="CC67" s="153">
        <f t="shared" si="63"/>
        <v>0.29421038933488913</v>
      </c>
      <c r="CD67" s="5">
        <f t="shared" si="64"/>
        <v>1.9219999999999999</v>
      </c>
      <c r="CE67" s="153">
        <f t="shared" si="65"/>
        <v>0.86724618260489916</v>
      </c>
      <c r="CF67" s="5">
        <f t="shared" si="66"/>
        <v>86.724618260489919</v>
      </c>
      <c r="CG67">
        <f t="shared" si="102"/>
        <v>62</v>
      </c>
      <c r="CI67" s="59">
        <f t="shared" si="98"/>
        <v>-50</v>
      </c>
      <c r="CJ67">
        <f t="shared" si="99"/>
        <v>-50</v>
      </c>
    </row>
    <row r="68" spans="5:88" x14ac:dyDescent="0.25">
      <c r="E68" s="150">
        <v>63</v>
      </c>
      <c r="F68" s="191">
        <f t="shared" si="103"/>
        <v>6.3E-2</v>
      </c>
      <c r="G68" s="191">
        <f t="shared" si="100"/>
        <v>6.3E-2</v>
      </c>
      <c r="H68" s="191">
        <f t="shared" si="70"/>
        <v>0.94500000000000006</v>
      </c>
      <c r="I68" s="191">
        <f t="shared" si="104"/>
        <v>1.008</v>
      </c>
      <c r="J68" s="472">
        <f t="shared" si="1"/>
        <v>15</v>
      </c>
      <c r="K68" s="386">
        <f t="shared" si="2"/>
        <v>15.32</v>
      </c>
      <c r="L68" s="386">
        <f t="shared" si="3"/>
        <v>30.32</v>
      </c>
      <c r="M68" s="386"/>
      <c r="N68" s="191">
        <f t="shared" si="4"/>
        <v>0.50527704485488123</v>
      </c>
      <c r="O68" s="152">
        <f t="shared" si="101"/>
        <v>1.237725019150566</v>
      </c>
      <c r="P68" s="152">
        <f t="shared" si="71"/>
        <v>2.7284960422163587</v>
      </c>
      <c r="Q68" s="191">
        <f t="shared" si="6"/>
        <v>8.25150012767044E-2</v>
      </c>
      <c r="R68" s="191">
        <f t="shared" si="72"/>
        <v>7.7357813696910374E-2</v>
      </c>
      <c r="S68" s="386">
        <f t="shared" si="73"/>
        <v>15</v>
      </c>
      <c r="T68" s="191">
        <f t="shared" si="74"/>
        <v>0.57262315056570934</v>
      </c>
      <c r="U68" s="191">
        <f t="shared" si="10"/>
        <v>1.7942192051058894</v>
      </c>
      <c r="V68" s="191">
        <f t="shared" si="11"/>
        <v>1.7567420415527635</v>
      </c>
      <c r="W68" s="175">
        <f t="shared" si="12"/>
        <v>350</v>
      </c>
      <c r="X68" s="386">
        <f t="shared" si="52"/>
        <v>281.61388720898316</v>
      </c>
      <c r="Z68" s="191">
        <f t="shared" si="13"/>
        <v>0.46073894667618365</v>
      </c>
      <c r="AA68" s="153">
        <f t="shared" si="14"/>
        <v>1.4134941575574826</v>
      </c>
      <c r="AB68" s="153">
        <f t="shared" si="75"/>
        <v>0.11396906662504547</v>
      </c>
      <c r="AC68" s="153"/>
      <c r="AD68" s="153">
        <f t="shared" si="16"/>
        <v>0.46018276762402083</v>
      </c>
      <c r="AE68" s="317">
        <f t="shared" si="76"/>
        <v>1825.3617021276598</v>
      </c>
      <c r="AF68" s="463">
        <f t="shared" si="77"/>
        <v>1.2079797650130546E-2</v>
      </c>
      <c r="AH68" s="153">
        <f t="shared" si="78"/>
        <v>0.48728514086788888</v>
      </c>
      <c r="AI68" s="153">
        <f t="shared" si="79"/>
        <v>0.48728514086788888</v>
      </c>
      <c r="AJ68" s="153">
        <f t="shared" si="80"/>
        <v>1.449840845087325</v>
      </c>
      <c r="AL68" s="317">
        <f t="shared" si="81"/>
        <v>63</v>
      </c>
      <c r="AM68" s="147">
        <f t="shared" si="82"/>
        <v>281.61388720898316</v>
      </c>
      <c r="AO68">
        <f t="shared" si="53"/>
        <v>63</v>
      </c>
      <c r="AP68">
        <f t="shared" si="24"/>
        <v>281.61388720898316</v>
      </c>
      <c r="AR68" s="5">
        <f t="shared" si="54"/>
        <v>3.5509612466586526</v>
      </c>
      <c r="AS68" s="5">
        <f t="shared" si="25"/>
        <v>1.5268267747193849</v>
      </c>
      <c r="AT68" s="5">
        <f t="shared" si="55"/>
        <v>2.0241344719392678</v>
      </c>
      <c r="AU68" s="153">
        <f t="shared" si="56"/>
        <v>0.42997562312348037</v>
      </c>
      <c r="AW68" s="5">
        <f t="shared" si="83"/>
        <v>0.96692791308641945</v>
      </c>
      <c r="AX68" s="5">
        <f t="shared" si="84"/>
        <v>5.9456053305599985</v>
      </c>
      <c r="AY68" s="5">
        <f t="shared" si="85"/>
        <v>0.96440494504700414</v>
      </c>
      <c r="AZ68" s="5">
        <f t="shared" si="86"/>
        <v>2.9097987104665881</v>
      </c>
      <c r="BA68" s="5">
        <f t="shared" si="87"/>
        <v>0.39043304925406325</v>
      </c>
      <c r="BB68" s="147">
        <f t="shared" si="88"/>
        <v>29.716478694054743</v>
      </c>
      <c r="BC68" s="5"/>
      <c r="BD68" s="153">
        <f t="shared" si="57"/>
        <v>0.18447794759631245</v>
      </c>
      <c r="BE68" s="153">
        <f t="shared" si="89"/>
        <v>0.21240721037870855</v>
      </c>
      <c r="BF68" s="153">
        <f t="shared" si="90"/>
        <v>0.21268486686286373</v>
      </c>
      <c r="BG68" s="153"/>
      <c r="BH68" s="463">
        <f t="shared" si="34"/>
        <v>1.191123960227173E-2</v>
      </c>
      <c r="BI68" s="463">
        <f t="shared" si="35"/>
        <v>2.0803501425165842E-2</v>
      </c>
      <c r="BJ68" s="463">
        <f t="shared" si="36"/>
        <v>3.5201735901122895E-3</v>
      </c>
      <c r="BK68" s="463">
        <f t="shared" si="37"/>
        <v>1.2944416119227376E-2</v>
      </c>
      <c r="BL68">
        <f t="shared" si="38"/>
        <v>4.3499999999999997E-3</v>
      </c>
      <c r="BM68">
        <f t="shared" si="91"/>
        <v>7.0403471802245787E-6</v>
      </c>
      <c r="BN68">
        <f t="shared" si="92"/>
        <v>5.5265841954710078E-2</v>
      </c>
      <c r="BO68" s="147">
        <f t="shared" si="58"/>
        <v>55.265841954710076</v>
      </c>
      <c r="BP68" s="153">
        <f t="shared" si="93"/>
        <v>5.8535252787940834E-2</v>
      </c>
      <c r="BQ68" s="153">
        <f t="shared" si="94"/>
        <v>5.8625427380650193E-2</v>
      </c>
      <c r="BR68" s="463"/>
      <c r="BT68" s="147">
        <f t="shared" si="59"/>
        <v>117.16068016859101</v>
      </c>
      <c r="BU68" s="463">
        <f t="shared" si="43"/>
        <v>3.4032113149347801E-2</v>
      </c>
      <c r="BV68" s="463">
        <f t="shared" si="60"/>
        <v>4.5116823020864956E-2</v>
      </c>
      <c r="BW68" s="463">
        <f t="shared" si="95"/>
        <v>2.2617426296237036E-3</v>
      </c>
      <c r="BX68" s="463">
        <f t="shared" si="45"/>
        <v>0</v>
      </c>
      <c r="BY68" s="463">
        <f t="shared" si="96"/>
        <v>9.1777695011784344E-2</v>
      </c>
      <c r="BZ68" s="463">
        <f t="shared" si="61"/>
        <v>8.1410678799836461E-2</v>
      </c>
      <c r="CA68" s="549">
        <f t="shared" si="97"/>
        <v>3.3434159375023968E-2</v>
      </c>
      <c r="CB68" s="147">
        <f t="shared" si="62"/>
        <v>125.21185438680831</v>
      </c>
      <c r="CC68" s="153">
        <f t="shared" si="63"/>
        <v>0.29763837651010944</v>
      </c>
      <c r="CD68" s="5">
        <f t="shared" si="64"/>
        <v>1.9530000000000001</v>
      </c>
      <c r="CE68" s="153">
        <f t="shared" si="65"/>
        <v>0.86775379838157995</v>
      </c>
      <c r="CF68" s="5">
        <f t="shared" si="66"/>
        <v>86.775379838157988</v>
      </c>
      <c r="CG68">
        <f t="shared" si="102"/>
        <v>63</v>
      </c>
      <c r="CI68" s="59">
        <f t="shared" si="98"/>
        <v>-50</v>
      </c>
      <c r="CJ68">
        <f t="shared" si="99"/>
        <v>-50</v>
      </c>
    </row>
    <row r="69" spans="5:88" x14ac:dyDescent="0.25">
      <c r="E69" s="150">
        <v>64</v>
      </c>
      <c r="F69" s="191">
        <f t="shared" si="103"/>
        <v>6.4000000000000001E-2</v>
      </c>
      <c r="G69" s="191">
        <f t="shared" si="100"/>
        <v>6.4000000000000001E-2</v>
      </c>
      <c r="H69" s="191">
        <f t="shared" ref="H69:H105" si="105">F69*Vout</f>
        <v>0.96</v>
      </c>
      <c r="I69" s="191">
        <f t="shared" si="104"/>
        <v>1.024</v>
      </c>
      <c r="J69" s="472">
        <f t="shared" ref="J69:J105" si="106">Vin</f>
        <v>15</v>
      </c>
      <c r="K69" s="386">
        <f t="shared" ref="K69:K105" si="107">(S69+Vfwd1)*Nps</f>
        <v>15.32</v>
      </c>
      <c r="L69" s="386">
        <f t="shared" ref="L69:L105" si="108">(Vout+Vfwd1)*Nps+J69</f>
        <v>30.32</v>
      </c>
      <c r="M69" s="386"/>
      <c r="N69" s="191">
        <f t="shared" ref="N69:N105" si="109">(Vout+Vfwd1)*Nps/((Vout+Vfwd1)*Nps+J69)</f>
        <v>0.50527704485488123</v>
      </c>
      <c r="O69" s="152">
        <f t="shared" si="101"/>
        <v>1.237725019150566</v>
      </c>
      <c r="P69" s="152">
        <f t="shared" ref="P69:P105" si="110">N69*J69*Isw_max*0.5*Efficiency*(Pout2/Pout_total)</f>
        <v>2.7284960422163587</v>
      </c>
      <c r="Q69" s="191">
        <f t="shared" ref="Q69:Q105" si="111">O69/Vout</f>
        <v>8.25150012767044E-2</v>
      </c>
      <c r="R69" s="191">
        <f t="shared" ref="R69:R105" si="112">O69/Vout2</f>
        <v>7.7357813696910374E-2</v>
      </c>
      <c r="S69" s="386">
        <f t="shared" ref="S69:S105" si="113">MIN(Vout,O69/F69)</f>
        <v>15</v>
      </c>
      <c r="T69" s="191">
        <f t="shared" ref="T69:T105" si="114">MIN(2*(Vout*F69+Vout2*G69)/(Efficiency*J69*N69), Isw_max)</f>
        <v>0.58171240692389525</v>
      </c>
      <c r="U69" s="191">
        <f t="shared" ref="U69:U105" si="115">L*T69/J69*1000000</f>
        <v>1.8226988750282052</v>
      </c>
      <c r="V69" s="191">
        <f t="shared" ref="V69:V105" si="116">L*T69/K69*1000000</f>
        <v>1.784626835863125</v>
      </c>
      <c r="W69" s="175">
        <f t="shared" ref="W69:W105" si="117">IF(1/((350000*L)*(1/J69+1/K69))&gt;Isw_min, 350, 0.001/((Isw_min*L)*(1/J69+1/K69)))</f>
        <v>350</v>
      </c>
      <c r="X69" s="386">
        <f t="shared" si="52"/>
        <v>277.21367022134274</v>
      </c>
      <c r="Z69" s="191">
        <f t="shared" ref="Z69:Z105" si="118">1/((W69*1000*L)*(1/J69+1/K69))</f>
        <v>0.46073894667618365</v>
      </c>
      <c r="AA69" s="153">
        <f t="shared" ref="AA69:AA105" si="119">L*Z69/K69*1000000</f>
        <v>1.4134941575574826</v>
      </c>
      <c r="AB69" s="153">
        <f t="shared" ref="AB69:AB100" si="120">0.5*AA69*Z69*Nps*W69/1000*(Pout/Pout_total)</f>
        <v>0.11396906662504547</v>
      </c>
      <c r="AC69" s="153"/>
      <c r="AD69" s="153">
        <f t="shared" ref="AD69:AD105" si="121">L*Isw_min/K69*1000000</f>
        <v>0.46018276762402083</v>
      </c>
      <c r="AE69" s="317">
        <f t="shared" ref="AE69:AE100" si="122">MAX(10, F69/(0.5*AD69/1000000*Isw_min*Nps)/1000*Pout_total/Pout)</f>
        <v>1854.3356973995278</v>
      </c>
      <c r="AF69" s="463">
        <f t="shared" ref="AF69:AF105" si="123">0.5*AD69/1000000*Isw_min*Nps*W69*1000*(Pout/Pout_total)</f>
        <v>1.2079797650130546E-2</v>
      </c>
      <c r="AH69" s="153">
        <f t="shared" ref="AH69:AH105" si="124">SQRT((H69+I69)/(0.5*L*Fsw_DCM))</f>
        <v>0.49113725726228979</v>
      </c>
      <c r="AI69" s="153">
        <f t="shared" ref="AI69:AI100" si="125">MAX(IF(F69&gt;AB69,T69,AH69),Isw_min)</f>
        <v>0.49113725726228979</v>
      </c>
      <c r="AJ69" s="153">
        <f t="shared" ref="AJ69:AJ100" si="126">IF(F69&gt;AF69, (AI69-Isw_min)/1.08*0.8+1.2, AE69*0.2/350+1)</f>
        <v>1.4526942646387331</v>
      </c>
      <c r="AL69" s="317">
        <f t="shared" ref="AL69:AL105" si="127">F69*1000</f>
        <v>64</v>
      </c>
      <c r="AM69" s="147">
        <f t="shared" ref="AM69:AM105" si="128">IF(F69&gt;AF69, X69, AE69)</f>
        <v>277.21367022134274</v>
      </c>
      <c r="AO69">
        <f t="shared" si="53"/>
        <v>64</v>
      </c>
      <c r="AP69">
        <f t="shared" ref="AP69:AP105" si="129">IF(H69&gt;O69, "",AM69)</f>
        <v>277.21367022134274</v>
      </c>
      <c r="AR69" s="5">
        <f t="shared" si="54"/>
        <v>3.6073257108913306</v>
      </c>
      <c r="AS69" s="5">
        <f t="shared" ref="AS69:AS105" si="130">L*AI69/J69*1000000</f>
        <v>1.5388967394218414</v>
      </c>
      <c r="AT69" s="5">
        <f t="shared" si="55"/>
        <v>2.0684289714694892</v>
      </c>
      <c r="AU69" s="153">
        <f t="shared" si="56"/>
        <v>0.4266032132267859</v>
      </c>
      <c r="AW69" s="5">
        <f t="shared" ref="AW69:AW105" si="131">L*Iout^2/(2*Vripple1_spec*Vout*Npri_sec1^2)*1000000000*((1+N69)/(1-N69))^2</f>
        <v>0.96692791308641945</v>
      </c>
      <c r="AX69" s="5">
        <f t="shared" ref="AX69:AX105" si="132">L*F69^2/(2*Cout*Vout*Nps^2)*1000000000*((1+N69)/(1-N69))^2+F69*RCoutEsr</f>
        <v>6.1328050980029598</v>
      </c>
      <c r="AY69" s="5">
        <f t="shared" ref="AY69:AY105" si="133">L*Iout2^2/(2*Vripple2_spec*Vout2*Npri_sec2^2)*1000000000*((1+N69)/(1-N69))^2</f>
        <v>0.96440494504700414</v>
      </c>
      <c r="AZ69" s="5">
        <f t="shared" ref="AZ69:AZ105" si="134">L*G69^2/(2*Cout2*Vout2*Npri_sec2^2)*1000000000*((1+N69)/(1-N69))^2+G69*CoutEsr2</f>
        <v>3.0008746581182018</v>
      </c>
      <c r="BA69" s="5">
        <f t="shared" ref="BA69:BA105" si="135">(H69+I69)/Efficiency/J69*AT69/Vinripple1</f>
        <v>0.4053099337674535</v>
      </c>
      <c r="BB69" s="147">
        <f t="shared" ref="BB69:BB105" si="136">((CD69/J69/Efficiency)*AT69/Cin+(CD69/J69/Efficiency)*RCinEsr)*1000</f>
        <v>30.839133921447903</v>
      </c>
      <c r="BC69" s="5"/>
      <c r="BD69" s="153">
        <f t="shared" si="57"/>
        <v>0.18520568538345783</v>
      </c>
      <c r="BE69" s="153">
        <f t="shared" ref="BE69:BE105" si="137">AI69*Npri_sec1*SQRT((1-AU69)/3)*(Pout/Pout_total)</f>
        <v>0.21471870573384733</v>
      </c>
      <c r="BF69" s="153">
        <f t="shared" ref="BF69:BF105" si="138">AI69*Npri_sec2*SQRT((1-AU69)/3)*(Pout2/Pout_total)</f>
        <v>0.21499938378055825</v>
      </c>
      <c r="BG69" s="153"/>
      <c r="BH69" s="463">
        <f t="shared" ref="BH69:BH105" si="139">Rdson*BD69^2</f>
        <v>1.2005401064424728E-2</v>
      </c>
      <c r="BI69" s="463">
        <f t="shared" ref="BI69:BI105" si="140">0.5*L69*AI69*AM69*1000*Trise</f>
        <v>2.0640334188887471E-2</v>
      </c>
      <c r="BJ69" s="463">
        <f t="shared" ref="BJ69:BJ105" si="141">Qg*Vdd*AM69*1000</f>
        <v>3.4651708777667842E-3</v>
      </c>
      <c r="BK69" s="463">
        <f t="shared" ref="BK69:BK105" si="142">0.5*(Coss+Csw)*L69^2*AM69*1000</f>
        <v>1.2742159617364445E-2</v>
      </c>
      <c r="BL69">
        <f t="shared" ref="BL69:BL105" si="143">J69*IQ</f>
        <v>4.3499999999999997E-3</v>
      </c>
      <c r="BM69">
        <f t="shared" ref="BM69:BM105" si="144">(J69-Vdd)*Qg*AM69</f>
        <v>6.9303417555335684E-6</v>
      </c>
      <c r="BN69">
        <f t="shared" ref="BN69:BN100" si="145">(BI69+BJ69+BK69+BL69+BM69+BH69*(1+RdsonTC*(Ta-25)))/(1-BH69*RdsonTC*ThetaJA)</f>
        <v>5.4952444706388819E-2</v>
      </c>
      <c r="BO69" s="147">
        <f t="shared" si="58"/>
        <v>54.952444706388818</v>
      </c>
      <c r="BP69" s="153">
        <f t="shared" ref="BP69:BP105" si="146">(Vfwd2*F69+BE69^2*Rdiode)*(1+Diode_TC/1000*(Ta-25))</f>
        <v>5.9671549660302158E-2</v>
      </c>
      <c r="BQ69" s="153">
        <f t="shared" ref="BQ69:BQ105" si="147">(Vfwd2*G69+BF69^2*Rdiode)*(1+Diode_TC/1000*(Ta-25))</f>
        <v>5.976369755987912E-2</v>
      </c>
      <c r="BR69" s="463"/>
      <c r="BT69" s="147">
        <f t="shared" si="59"/>
        <v>119.43524722018128</v>
      </c>
      <c r="BU69" s="463">
        <f t="shared" ref="BU69:BU105" si="148">Rdcr_pri*BD69^2</f>
        <v>3.4301145898356367E-2</v>
      </c>
      <c r="BV69" s="463">
        <f t="shared" ref="BV69:BV105" si="149">Rdcr_sec*BE69^2</f>
        <v>4.6104122592018522E-2</v>
      </c>
      <c r="BW69" s="463">
        <f t="shared" ref="BW69:BW105" si="150">Rdcr_sec2*BF69^2</f>
        <v>2.3112367513009888E-3</v>
      </c>
      <c r="BX69" s="463">
        <f t="shared" ref="BX69:BX105" si="151">AI69^2.5*AM69^2.5*k_core</f>
        <v>0</v>
      </c>
      <c r="BY69" s="463">
        <f t="shared" ref="BY69:BY100" si="152">(BX69+(BU69+BV69+BW69)*(1+Ltc*(Ta-25)))/(1-(BU69+BV69+BW69)*Ltc*ThetaCa)</f>
        <v>9.32596146228198E-2</v>
      </c>
      <c r="BZ69" s="463">
        <f t="shared" si="61"/>
        <v>8.2716505241675869E-2</v>
      </c>
      <c r="CA69" s="549">
        <f t="shared" ref="CA69:CA105" si="153">0.5*Lleak*0.000000001*AI69^2*AM69*1000</f>
        <v>3.3434159375023961E-2</v>
      </c>
      <c r="CB69" s="147">
        <f t="shared" si="62"/>
        <v>126.69377399784376</v>
      </c>
      <c r="CC69" s="153">
        <f t="shared" si="63"/>
        <v>0.30108146592441387</v>
      </c>
      <c r="CD69" s="5">
        <f t="shared" si="64"/>
        <v>1.984</v>
      </c>
      <c r="CE69" s="153">
        <f t="shared" si="65"/>
        <v>0.8682403798664512</v>
      </c>
      <c r="CF69" s="5">
        <f t="shared" si="66"/>
        <v>86.824037986645124</v>
      </c>
      <c r="CG69">
        <f t="shared" si="102"/>
        <v>64</v>
      </c>
      <c r="CI69" s="59">
        <f t="shared" ref="CI69:CI105" si="154">IF(ABS(F69-Ioutmax_Vinnom)&lt;Iout/200, AM69, -50)</f>
        <v>-50</v>
      </c>
      <c r="CJ69">
        <f t="shared" ref="CJ69:CJ105" si="155">IF(ABS(F69-Ioutmax_Vinnom)&lt;Iout/200, (O69+P69)*CE69, -50)</f>
        <v>-50</v>
      </c>
    </row>
    <row r="70" spans="5:88" x14ac:dyDescent="0.25">
      <c r="E70" s="150">
        <v>65</v>
      </c>
      <c r="F70" s="191">
        <f t="shared" si="103"/>
        <v>6.5000000000000002E-2</v>
      </c>
      <c r="G70" s="191">
        <f t="shared" ref="G70:G105" si="156">IF(PLOT_TYPE=1, E70/100*Iout2, min_I*EXP(Q70*rr/100))</f>
        <v>6.5000000000000002E-2</v>
      </c>
      <c r="H70" s="191">
        <f t="shared" si="105"/>
        <v>0.97500000000000009</v>
      </c>
      <c r="I70" s="191">
        <f t="shared" si="104"/>
        <v>1.04</v>
      </c>
      <c r="J70" s="472">
        <f t="shared" si="106"/>
        <v>15</v>
      </c>
      <c r="K70" s="386">
        <f t="shared" si="107"/>
        <v>15.32</v>
      </c>
      <c r="L70" s="386">
        <f t="shared" si="108"/>
        <v>30.32</v>
      </c>
      <c r="M70" s="386"/>
      <c r="N70" s="191">
        <f t="shared" si="109"/>
        <v>0.50527704485488123</v>
      </c>
      <c r="O70" s="152">
        <f t="shared" ref="O70:O101" si="157">N70*J70*Isw_max*0.5*Efficiency*Pout/(Pout+Pout2)</f>
        <v>1.237725019150566</v>
      </c>
      <c r="P70" s="152">
        <f t="shared" si="110"/>
        <v>2.7284960422163587</v>
      </c>
      <c r="Q70" s="191">
        <f t="shared" si="111"/>
        <v>8.25150012767044E-2</v>
      </c>
      <c r="R70" s="191">
        <f t="shared" si="112"/>
        <v>7.7357813696910374E-2</v>
      </c>
      <c r="S70" s="386">
        <f t="shared" si="113"/>
        <v>15</v>
      </c>
      <c r="T70" s="191">
        <f t="shared" si="114"/>
        <v>0.59080166328208117</v>
      </c>
      <c r="U70" s="191">
        <f t="shared" si="115"/>
        <v>1.8511785449505209</v>
      </c>
      <c r="V70" s="191">
        <f t="shared" si="116"/>
        <v>1.8125116301734865</v>
      </c>
      <c r="W70" s="175">
        <f t="shared" si="117"/>
        <v>350</v>
      </c>
      <c r="X70" s="386">
        <f t="shared" ref="X70:X105" si="158">MIN(1/(U70+V70)*1000, 350)</f>
        <v>272.94884452562974</v>
      </c>
      <c r="Z70" s="191">
        <f t="shared" si="118"/>
        <v>0.46073894667618365</v>
      </c>
      <c r="AA70" s="153">
        <f t="shared" si="119"/>
        <v>1.4134941575574826</v>
      </c>
      <c r="AB70" s="153">
        <f t="shared" si="120"/>
        <v>0.11396906662504547</v>
      </c>
      <c r="AC70" s="153"/>
      <c r="AD70" s="153">
        <f t="shared" si="121"/>
        <v>0.46018276762402083</v>
      </c>
      <c r="AE70" s="317">
        <f t="shared" si="122"/>
        <v>1883.3096926713954</v>
      </c>
      <c r="AF70" s="463">
        <f t="shared" si="123"/>
        <v>1.2079797650130546E-2</v>
      </c>
      <c r="AH70" s="153">
        <f t="shared" si="124"/>
        <v>0.49495939473012429</v>
      </c>
      <c r="AI70" s="153">
        <f t="shared" si="125"/>
        <v>0.49495939473012429</v>
      </c>
      <c r="AJ70" s="153">
        <f t="shared" si="126"/>
        <v>1.4555254775778699</v>
      </c>
      <c r="AL70" s="317">
        <f t="shared" si="127"/>
        <v>65</v>
      </c>
      <c r="AM70" s="147">
        <f t="shared" si="128"/>
        <v>272.94884452562974</v>
      </c>
      <c r="AO70">
        <f t="shared" ref="AO70:AO105" si="159">IF(H70&gt;O70, "",AL70)</f>
        <v>65</v>
      </c>
      <c r="AP70">
        <f t="shared" si="129"/>
        <v>272.94884452562974</v>
      </c>
      <c r="AR70" s="5">
        <f t="shared" ref="AR70:AR133" si="160">1/AM70*1000</f>
        <v>3.6636901751240081</v>
      </c>
      <c r="AS70" s="5">
        <f t="shared" si="130"/>
        <v>1.5508727701543892</v>
      </c>
      <c r="AT70" s="5">
        <f t="shared" ref="AT70:AT105" si="161">AR70-AS70</f>
        <v>2.1128174049696189</v>
      </c>
      <c r="AU70" s="153">
        <f t="shared" ref="AU70:AU105" si="162">AS70/AR70</f>
        <v>0.42330893061990305</v>
      </c>
      <c r="AW70" s="5">
        <f t="shared" si="131"/>
        <v>0.96692791308641945</v>
      </c>
      <c r="AX70" s="5">
        <f t="shared" si="132"/>
        <v>6.3229056491851834</v>
      </c>
      <c r="AY70" s="5">
        <f t="shared" si="133"/>
        <v>0.96440494504700414</v>
      </c>
      <c r="AZ70" s="5">
        <f t="shared" si="134"/>
        <v>3.0933533765989756</v>
      </c>
      <c r="BA70" s="5">
        <f t="shared" si="135"/>
        <v>0.4204767477544476</v>
      </c>
      <c r="BB70" s="147">
        <f t="shared" si="136"/>
        <v>31.983533859361348</v>
      </c>
      <c r="BC70" s="5"/>
      <c r="BD70" s="153">
        <f t="shared" ref="BD70:BD105" si="163">AI70*SQRT(AU70/3)</f>
        <v>0.18592494429693349</v>
      </c>
      <c r="BE70" s="153">
        <f t="shared" si="137"/>
        <v>0.2170104050471294</v>
      </c>
      <c r="BF70" s="153">
        <f t="shared" si="138"/>
        <v>0.21729407877921716</v>
      </c>
      <c r="BG70" s="153"/>
      <c r="BH70" s="463">
        <f t="shared" si="139"/>
        <v>1.2098829719136237E-2</v>
      </c>
      <c r="BI70" s="463">
        <f t="shared" si="140"/>
        <v>2.0480946983609784E-2</v>
      </c>
      <c r="BJ70" s="463">
        <f t="shared" si="141"/>
        <v>3.4118605565703715E-3</v>
      </c>
      <c r="BK70" s="463">
        <f t="shared" si="142"/>
        <v>1.2546126392481914E-2</v>
      </c>
      <c r="BL70">
        <f t="shared" si="143"/>
        <v>4.3499999999999997E-3</v>
      </c>
      <c r="BM70">
        <f t="shared" si="144"/>
        <v>6.8237211131407432E-6</v>
      </c>
      <c r="BN70">
        <f t="shared" si="145"/>
        <v>5.4649920800849613E-2</v>
      </c>
      <c r="BO70" s="147">
        <f t="shared" ref="BO70:BO105" si="164">BN70*1000</f>
        <v>54.649920800849614</v>
      </c>
      <c r="BP70" s="153">
        <f t="shared" si="146"/>
        <v>6.0809446146621454E-2</v>
      </c>
      <c r="BQ70" s="153">
        <f t="shared" si="147"/>
        <v>6.0903571537796609E-2</v>
      </c>
      <c r="BR70" s="463"/>
      <c r="BT70" s="147">
        <f t="shared" ref="BT70:BT105" si="165">SUM(BP70:BS70)*1000</f>
        <v>121.71301768441806</v>
      </c>
      <c r="BU70" s="463">
        <f t="shared" si="148"/>
        <v>3.4568084911817822E-2</v>
      </c>
      <c r="BV70" s="463">
        <f t="shared" si="149"/>
        <v>4.7093515898719164E-2</v>
      </c>
      <c r="BW70" s="463">
        <f t="shared" si="150"/>
        <v>2.3608358336254321E-3</v>
      </c>
      <c r="BX70" s="463">
        <f t="shared" si="151"/>
        <v>0</v>
      </c>
      <c r="BY70" s="463">
        <f t="shared" si="152"/>
        <v>9.4741965102289979E-2</v>
      </c>
      <c r="BZ70" s="463">
        <f t="shared" ref="BZ70:BZ133" si="166">SUM(BU70:BX70)</f>
        <v>8.4022436644162424E-2</v>
      </c>
      <c r="CA70" s="549">
        <f t="shared" si="153"/>
        <v>3.3434159375023961E-2</v>
      </c>
      <c r="CB70" s="147">
        <f t="shared" ref="CB70:CB105" si="167">(BY70+CA70)*1000</f>
        <v>128.17612447731395</v>
      </c>
      <c r="CC70" s="153">
        <f t="shared" ref="CC70:CC133" si="168">SUM(BN70,BP70:BS70,BY70, CA70)</f>
        <v>0.30453906296258165</v>
      </c>
      <c r="CD70" s="5">
        <f t="shared" ref="CD70:CD105" si="169">MIN(H70+I70,O70+P70)</f>
        <v>2.0150000000000001</v>
      </c>
      <c r="CE70" s="153">
        <f t="shared" ref="CE70:CE105" si="170">CD70/(CD70+CC70)</f>
        <v>0.86870707727007823</v>
      </c>
      <c r="CF70" s="5">
        <f t="shared" ref="CF70:CF105" si="171">CE70*100</f>
        <v>86.870707727007826</v>
      </c>
      <c r="CG70">
        <f t="shared" ref="CG70:CG105" si="172">F70/Iout*100</f>
        <v>65</v>
      </c>
      <c r="CI70" s="59">
        <f t="shared" si="154"/>
        <v>-50</v>
      </c>
      <c r="CJ70">
        <f t="shared" si="155"/>
        <v>-50</v>
      </c>
    </row>
    <row r="71" spans="5:88" x14ac:dyDescent="0.25">
      <c r="E71" s="150">
        <v>66</v>
      </c>
      <c r="F71" s="191">
        <f t="shared" si="103"/>
        <v>6.6000000000000003E-2</v>
      </c>
      <c r="G71" s="191">
        <f t="shared" si="156"/>
        <v>6.6000000000000003E-2</v>
      </c>
      <c r="H71" s="191">
        <f t="shared" si="105"/>
        <v>0.99</v>
      </c>
      <c r="I71" s="191">
        <f t="shared" si="104"/>
        <v>1.056</v>
      </c>
      <c r="J71" s="472">
        <f t="shared" si="106"/>
        <v>15</v>
      </c>
      <c r="K71" s="386">
        <f t="shared" si="107"/>
        <v>15.32</v>
      </c>
      <c r="L71" s="386">
        <f t="shared" si="108"/>
        <v>30.32</v>
      </c>
      <c r="M71" s="386"/>
      <c r="N71" s="191">
        <f t="shared" si="109"/>
        <v>0.50527704485488123</v>
      </c>
      <c r="O71" s="152">
        <f t="shared" si="157"/>
        <v>1.237725019150566</v>
      </c>
      <c r="P71" s="152">
        <f t="shared" si="110"/>
        <v>2.7284960422163587</v>
      </c>
      <c r="Q71" s="191">
        <f t="shared" si="111"/>
        <v>8.25150012767044E-2</v>
      </c>
      <c r="R71" s="191">
        <f t="shared" si="112"/>
        <v>7.7357813696910374E-2</v>
      </c>
      <c r="S71" s="386">
        <f t="shared" si="113"/>
        <v>15</v>
      </c>
      <c r="T71" s="191">
        <f t="shared" si="114"/>
        <v>0.59989091964026708</v>
      </c>
      <c r="U71" s="191">
        <f t="shared" si="115"/>
        <v>1.8796582148728367</v>
      </c>
      <c r="V71" s="191">
        <f t="shared" si="116"/>
        <v>1.8403964244838478</v>
      </c>
      <c r="W71" s="175">
        <f t="shared" si="117"/>
        <v>350</v>
      </c>
      <c r="X71" s="386">
        <f t="shared" si="158"/>
        <v>268.81325597221115</v>
      </c>
      <c r="Z71" s="191">
        <f t="shared" si="118"/>
        <v>0.46073894667618365</v>
      </c>
      <c r="AA71" s="153">
        <f t="shared" si="119"/>
        <v>1.4134941575574826</v>
      </c>
      <c r="AB71" s="153">
        <f t="shared" si="120"/>
        <v>0.11396906662504547</v>
      </c>
      <c r="AC71" s="153"/>
      <c r="AD71" s="153">
        <f t="shared" si="121"/>
        <v>0.46018276762402083</v>
      </c>
      <c r="AE71" s="317">
        <f t="shared" si="122"/>
        <v>1912.2836879432627</v>
      </c>
      <c r="AF71" s="463">
        <f t="shared" si="123"/>
        <v>1.2079797650130546E-2</v>
      </c>
      <c r="AH71" s="153">
        <f t="shared" si="124"/>
        <v>0.4987522424933018</v>
      </c>
      <c r="AI71" s="153">
        <f t="shared" si="125"/>
        <v>0.4987522424933018</v>
      </c>
      <c r="AJ71" s="153">
        <f t="shared" si="126"/>
        <v>1.4583349944394828</v>
      </c>
      <c r="AL71" s="317">
        <f t="shared" si="127"/>
        <v>66</v>
      </c>
      <c r="AM71" s="147">
        <f t="shared" si="128"/>
        <v>268.81325597221115</v>
      </c>
      <c r="AO71">
        <f t="shared" si="159"/>
        <v>66</v>
      </c>
      <c r="AP71">
        <f t="shared" si="129"/>
        <v>268.81325597221115</v>
      </c>
      <c r="AR71" s="5">
        <f t="shared" si="160"/>
        <v>3.7200546393566842</v>
      </c>
      <c r="AS71" s="5">
        <f t="shared" si="130"/>
        <v>1.5627570264790123</v>
      </c>
      <c r="AT71" s="5">
        <f t="shared" si="161"/>
        <v>2.157297612877672</v>
      </c>
      <c r="AU71" s="153">
        <f t="shared" si="162"/>
        <v>0.42008980458127426</v>
      </c>
      <c r="AW71" s="5">
        <f t="shared" si="131"/>
        <v>0.96692791308641945</v>
      </c>
      <c r="AX71" s="5">
        <f t="shared" si="132"/>
        <v>6.5159069841066648</v>
      </c>
      <c r="AY71" s="5">
        <f t="shared" si="133"/>
        <v>0.96440494504700414</v>
      </c>
      <c r="AZ71" s="5">
        <f t="shared" si="134"/>
        <v>3.1872348659089091</v>
      </c>
      <c r="BA71" s="5">
        <f t="shared" si="135"/>
        <v>0.43593391762446587</v>
      </c>
      <c r="BB71" s="147">
        <f t="shared" si="136"/>
        <v>33.149710488501611</v>
      </c>
      <c r="BC71" s="5"/>
      <c r="BD71" s="153">
        <f t="shared" si="163"/>
        <v>0.18663595132009952</v>
      </c>
      <c r="BE71" s="153">
        <f t="shared" si="137"/>
        <v>0.21928281922107018</v>
      </c>
      <c r="BF71" s="153">
        <f t="shared" si="138"/>
        <v>0.21956946342920228</v>
      </c>
      <c r="BG71" s="153"/>
      <c r="BH71" s="463">
        <f t="shared" si="139"/>
        <v>1.2191542413805495E-2</v>
      </c>
      <c r="BI71" s="463">
        <f t="shared" si="140"/>
        <v>2.0325196076974847E-2</v>
      </c>
      <c r="BJ71" s="463">
        <f t="shared" si="141"/>
        <v>3.3601656996526392E-3</v>
      </c>
      <c r="BK71" s="463">
        <f t="shared" si="142"/>
        <v>1.2356033568353401E-2</v>
      </c>
      <c r="BL71">
        <f t="shared" si="143"/>
        <v>4.3499999999999997E-3</v>
      </c>
      <c r="BM71">
        <f t="shared" si="144"/>
        <v>6.7203313993052782E-6</v>
      </c>
      <c r="BN71">
        <f t="shared" si="145"/>
        <v>5.4357785434054479E-2</v>
      </c>
      <c r="BO71" s="147">
        <f t="shared" si="164"/>
        <v>54.357785434054477</v>
      </c>
      <c r="BP71" s="153">
        <f t="shared" si="146"/>
        <v>6.1948905471432981E-2</v>
      </c>
      <c r="BQ71" s="153">
        <f t="shared" si="147"/>
        <v>6.2045012442729086E-2</v>
      </c>
      <c r="BR71" s="463"/>
      <c r="BT71" s="147">
        <f t="shared" si="165"/>
        <v>123.99391791416205</v>
      </c>
      <c r="BU71" s="463">
        <f t="shared" si="148"/>
        <v>3.483297832515856E-2</v>
      </c>
      <c r="BV71" s="463">
        <f t="shared" si="149"/>
        <v>4.8084954805540543E-2</v>
      </c>
      <c r="BW71" s="463">
        <f t="shared" si="150"/>
        <v>2.4105374635293901E-3</v>
      </c>
      <c r="BX71" s="463">
        <f t="shared" si="151"/>
        <v>0</v>
      </c>
      <c r="BY71" s="463">
        <f t="shared" si="152"/>
        <v>9.6224743883850342E-2</v>
      </c>
      <c r="BZ71" s="463">
        <f t="shared" si="166"/>
        <v>8.5328470594228489E-2</v>
      </c>
      <c r="CA71" s="549">
        <f t="shared" si="153"/>
        <v>3.3434159375023968E-2</v>
      </c>
      <c r="CB71" s="147">
        <f t="shared" si="167"/>
        <v>129.65890325887429</v>
      </c>
      <c r="CC71" s="153">
        <f t="shared" si="168"/>
        <v>0.30801060660709084</v>
      </c>
      <c r="CD71" s="5">
        <f t="shared" si="169"/>
        <v>2.0460000000000003</v>
      </c>
      <c r="CE71" s="153">
        <f t="shared" si="170"/>
        <v>0.86915496228326861</v>
      </c>
      <c r="CF71" s="5">
        <f t="shared" si="171"/>
        <v>86.915496228326859</v>
      </c>
      <c r="CG71">
        <f t="shared" si="172"/>
        <v>66</v>
      </c>
      <c r="CI71" s="59">
        <f t="shared" si="154"/>
        <v>-50</v>
      </c>
      <c r="CJ71">
        <f t="shared" si="155"/>
        <v>-50</v>
      </c>
    </row>
    <row r="72" spans="5:88" x14ac:dyDescent="0.25">
      <c r="E72" s="150">
        <v>67</v>
      </c>
      <c r="F72" s="191">
        <f t="shared" ref="F72:F103" si="173">IF(PLOT_TYPE=1, E72/100*Iout_max, min_I*EXP(O72*rr/100))</f>
        <v>6.7000000000000004E-2</v>
      </c>
      <c r="G72" s="191">
        <f t="shared" si="156"/>
        <v>6.7000000000000004E-2</v>
      </c>
      <c r="H72" s="191">
        <f t="shared" si="105"/>
        <v>1.0050000000000001</v>
      </c>
      <c r="I72" s="191">
        <f t="shared" ref="I72:I105" si="174">Vout2*G72</f>
        <v>1.0720000000000001</v>
      </c>
      <c r="J72" s="472">
        <f t="shared" si="106"/>
        <v>15</v>
      </c>
      <c r="K72" s="386">
        <f t="shared" si="107"/>
        <v>15.32</v>
      </c>
      <c r="L72" s="386">
        <f t="shared" si="108"/>
        <v>30.32</v>
      </c>
      <c r="M72" s="386"/>
      <c r="N72" s="191">
        <f t="shared" si="109"/>
        <v>0.50527704485488123</v>
      </c>
      <c r="O72" s="152">
        <f t="shared" si="157"/>
        <v>1.237725019150566</v>
      </c>
      <c r="P72" s="152">
        <f t="shared" si="110"/>
        <v>2.7284960422163587</v>
      </c>
      <c r="Q72" s="191">
        <f t="shared" si="111"/>
        <v>8.25150012767044E-2</v>
      </c>
      <c r="R72" s="191">
        <f t="shared" si="112"/>
        <v>7.7357813696910374E-2</v>
      </c>
      <c r="S72" s="386">
        <f t="shared" si="113"/>
        <v>15</v>
      </c>
      <c r="T72" s="191">
        <f t="shared" si="114"/>
        <v>0.60898017599845278</v>
      </c>
      <c r="U72" s="191">
        <f t="shared" si="115"/>
        <v>1.908137884795152</v>
      </c>
      <c r="V72" s="191">
        <f t="shared" si="116"/>
        <v>1.8682812187942086</v>
      </c>
      <c r="W72" s="175">
        <f t="shared" si="117"/>
        <v>350</v>
      </c>
      <c r="X72" s="386">
        <f t="shared" si="158"/>
        <v>264.80111782337224</v>
      </c>
      <c r="Z72" s="191">
        <f t="shared" si="118"/>
        <v>0.46073894667618365</v>
      </c>
      <c r="AA72" s="153">
        <f t="shared" si="119"/>
        <v>1.4134941575574826</v>
      </c>
      <c r="AB72" s="153">
        <f t="shared" si="120"/>
        <v>0.11396906662504547</v>
      </c>
      <c r="AC72" s="153"/>
      <c r="AD72" s="153">
        <f t="shared" si="121"/>
        <v>0.46018276762402083</v>
      </c>
      <c r="AE72" s="317">
        <f t="shared" si="122"/>
        <v>1941.2576832151306</v>
      </c>
      <c r="AF72" s="463">
        <f t="shared" si="123"/>
        <v>1.2079797650130546E-2</v>
      </c>
      <c r="AH72" s="153">
        <f t="shared" si="124"/>
        <v>0.50251646376271453</v>
      </c>
      <c r="AI72" s="153">
        <f t="shared" si="125"/>
        <v>0.50251646376271453</v>
      </c>
      <c r="AJ72" s="153">
        <f t="shared" si="126"/>
        <v>1.4611233064908995</v>
      </c>
      <c r="AL72" s="317">
        <f t="shared" si="127"/>
        <v>67</v>
      </c>
      <c r="AM72" s="147">
        <f t="shared" si="128"/>
        <v>264.80111782337224</v>
      </c>
      <c r="AO72">
        <f t="shared" si="159"/>
        <v>67</v>
      </c>
      <c r="AP72">
        <f t="shared" si="129"/>
        <v>264.80111782337224</v>
      </c>
      <c r="AR72" s="5">
        <f t="shared" si="160"/>
        <v>3.7764191035893604</v>
      </c>
      <c r="AS72" s="5">
        <f t="shared" si="130"/>
        <v>1.5745515864565054</v>
      </c>
      <c r="AT72" s="5">
        <f t="shared" si="161"/>
        <v>2.2018675171328548</v>
      </c>
      <c r="AU72" s="153">
        <f t="shared" si="162"/>
        <v>0.41694302016424678</v>
      </c>
      <c r="AW72" s="5">
        <f t="shared" si="131"/>
        <v>0.96692791308641945</v>
      </c>
      <c r="AX72" s="5">
        <f t="shared" si="132"/>
        <v>6.7118091027674058</v>
      </c>
      <c r="AY72" s="5">
        <f t="shared" si="133"/>
        <v>0.96440494504700414</v>
      </c>
      <c r="AZ72" s="5">
        <f t="shared" si="134"/>
        <v>3.2825191260480007</v>
      </c>
      <c r="BA72" s="5">
        <f t="shared" si="135"/>
        <v>0.45168186005777172</v>
      </c>
      <c r="BB72" s="147">
        <f t="shared" si="136"/>
        <v>34.337695059888439</v>
      </c>
      <c r="BC72" s="5"/>
      <c r="BD72" s="153">
        <f t="shared" si="163"/>
        <v>0.18733892403125699</v>
      </c>
      <c r="BE72" s="153">
        <f t="shared" si="137"/>
        <v>0.22153643716931107</v>
      </c>
      <c r="BF72" s="153">
        <f t="shared" si="138"/>
        <v>0.22182602728325787</v>
      </c>
      <c r="BG72" s="153"/>
      <c r="BH72" s="463">
        <f t="shared" si="139"/>
        <v>1.2283555360016176E-2</v>
      </c>
      <c r="BI72" s="463">
        <f t="shared" si="140"/>
        <v>2.0172945273478664E-2</v>
      </c>
      <c r="BJ72" s="463">
        <f t="shared" si="141"/>
        <v>3.3100139727921529E-3</v>
      </c>
      <c r="BK72" s="463">
        <f t="shared" si="142"/>
        <v>1.2171615156885444E-2</v>
      </c>
      <c r="BL72">
        <f t="shared" si="143"/>
        <v>4.3499999999999997E-3</v>
      </c>
      <c r="BM72">
        <f t="shared" si="144"/>
        <v>6.6200279455843055E-6</v>
      </c>
      <c r="BN72">
        <f t="shared" si="145"/>
        <v>5.4075582119736593E-2</v>
      </c>
      <c r="BO72" s="147">
        <f t="shared" si="164"/>
        <v>54.075582119736595</v>
      </c>
      <c r="BP72" s="153">
        <f t="shared" si="146"/>
        <v>6.3089892247165491E-2</v>
      </c>
      <c r="BQ72" s="153">
        <f t="shared" si="147"/>
        <v>6.3187984794528321E-2</v>
      </c>
      <c r="BR72" s="463"/>
      <c r="BT72" s="147">
        <f t="shared" si="165"/>
        <v>126.2778770416938</v>
      </c>
      <c r="BU72" s="463">
        <f t="shared" si="148"/>
        <v>3.5095872457189078E-2</v>
      </c>
      <c r="BV72" s="463">
        <f t="shared" si="149"/>
        <v>4.9078392993672108E-2</v>
      </c>
      <c r="BW72" s="463">
        <f t="shared" si="150"/>
        <v>2.4603393190136334E-3</v>
      </c>
      <c r="BX72" s="463">
        <f t="shared" si="151"/>
        <v>0</v>
      </c>
      <c r="BY72" s="463">
        <f t="shared" si="152"/>
        <v>9.7707948502370051E-2</v>
      </c>
      <c r="BZ72" s="463">
        <f t="shared" si="166"/>
        <v>8.6634604769874807E-2</v>
      </c>
      <c r="CA72" s="549">
        <f t="shared" si="153"/>
        <v>3.3434159375023968E-2</v>
      </c>
      <c r="CB72" s="147">
        <f t="shared" si="167"/>
        <v>131.14210787739404</v>
      </c>
      <c r="CC72" s="153">
        <f t="shared" si="168"/>
        <v>0.31149556703882447</v>
      </c>
      <c r="CD72" s="5">
        <f t="shared" si="169"/>
        <v>2.077</v>
      </c>
      <c r="CE72" s="153">
        <f t="shared" si="170"/>
        <v>0.86958503447213586</v>
      </c>
      <c r="CF72" s="5">
        <f t="shared" si="171"/>
        <v>86.958503447213587</v>
      </c>
      <c r="CG72">
        <f t="shared" si="172"/>
        <v>67</v>
      </c>
      <c r="CI72" s="59">
        <f t="shared" si="154"/>
        <v>-50</v>
      </c>
      <c r="CJ72">
        <f t="shared" si="155"/>
        <v>-50</v>
      </c>
    </row>
    <row r="73" spans="5:88" x14ac:dyDescent="0.25">
      <c r="E73" s="150">
        <v>68</v>
      </c>
      <c r="F73" s="191">
        <f t="shared" si="173"/>
        <v>6.8000000000000005E-2</v>
      </c>
      <c r="G73" s="191">
        <f t="shared" si="156"/>
        <v>6.8000000000000005E-2</v>
      </c>
      <c r="H73" s="191">
        <f t="shared" si="105"/>
        <v>1.02</v>
      </c>
      <c r="I73" s="191">
        <f t="shared" si="174"/>
        <v>1.0880000000000001</v>
      </c>
      <c r="J73" s="472">
        <f t="shared" si="106"/>
        <v>15</v>
      </c>
      <c r="K73" s="386">
        <f t="shared" si="107"/>
        <v>15.32</v>
      </c>
      <c r="L73" s="386">
        <f t="shared" si="108"/>
        <v>30.32</v>
      </c>
      <c r="M73" s="386"/>
      <c r="N73" s="191">
        <f t="shared" si="109"/>
        <v>0.50527704485488123</v>
      </c>
      <c r="O73" s="152">
        <f t="shared" si="157"/>
        <v>1.237725019150566</v>
      </c>
      <c r="P73" s="152">
        <f t="shared" si="110"/>
        <v>2.7284960422163587</v>
      </c>
      <c r="Q73" s="191">
        <f t="shared" si="111"/>
        <v>8.25150012767044E-2</v>
      </c>
      <c r="R73" s="191">
        <f t="shared" si="112"/>
        <v>7.7357813696910374E-2</v>
      </c>
      <c r="S73" s="386">
        <f t="shared" si="113"/>
        <v>15</v>
      </c>
      <c r="T73" s="191">
        <f t="shared" si="114"/>
        <v>0.61806943235663869</v>
      </c>
      <c r="U73" s="191">
        <f t="shared" si="115"/>
        <v>1.936617554717468</v>
      </c>
      <c r="V73" s="191">
        <f t="shared" si="116"/>
        <v>1.8961660131045703</v>
      </c>
      <c r="W73" s="175">
        <f t="shared" si="117"/>
        <v>350</v>
      </c>
      <c r="X73" s="386">
        <f t="shared" si="158"/>
        <v>260.90698373773438</v>
      </c>
      <c r="Z73" s="191">
        <f t="shared" si="118"/>
        <v>0.46073894667618365</v>
      </c>
      <c r="AA73" s="153">
        <f t="shared" si="119"/>
        <v>1.4134941575574826</v>
      </c>
      <c r="AB73" s="153">
        <f t="shared" si="120"/>
        <v>0.11396906662504547</v>
      </c>
      <c r="AC73" s="153"/>
      <c r="AD73" s="153">
        <f t="shared" si="121"/>
        <v>0.46018276762402083</v>
      </c>
      <c r="AE73" s="317">
        <f t="shared" si="122"/>
        <v>1970.2316784869981</v>
      </c>
      <c r="AF73" s="463">
        <f t="shared" si="123"/>
        <v>1.2079797650130546E-2</v>
      </c>
      <c r="AH73" s="153">
        <f t="shared" si="124"/>
        <v>0.50625269709214382</v>
      </c>
      <c r="AI73" s="153">
        <f t="shared" si="125"/>
        <v>0.50625269709214382</v>
      </c>
      <c r="AJ73" s="153">
        <f t="shared" si="126"/>
        <v>1.4638908867349212</v>
      </c>
      <c r="AL73" s="317">
        <f t="shared" si="127"/>
        <v>68</v>
      </c>
      <c r="AM73" s="147">
        <f t="shared" si="128"/>
        <v>260.90698373773438</v>
      </c>
      <c r="AO73">
        <f t="shared" si="159"/>
        <v>68</v>
      </c>
      <c r="AP73">
        <f t="shared" si="129"/>
        <v>260.90698373773438</v>
      </c>
      <c r="AR73" s="5">
        <f t="shared" si="160"/>
        <v>3.8327835678220379</v>
      </c>
      <c r="AS73" s="5">
        <f t="shared" si="130"/>
        <v>1.5862584508887172</v>
      </c>
      <c r="AT73" s="5">
        <f t="shared" si="161"/>
        <v>2.2465251169333209</v>
      </c>
      <c r="AU73" s="153">
        <f t="shared" si="162"/>
        <v>0.41386590784986627</v>
      </c>
      <c r="AW73" s="5">
        <f t="shared" si="131"/>
        <v>0.96692791308641945</v>
      </c>
      <c r="AX73" s="5">
        <f t="shared" si="132"/>
        <v>6.9106120051674047</v>
      </c>
      <c r="AY73" s="5">
        <f t="shared" si="133"/>
        <v>0.96440494504700414</v>
      </c>
      <c r="AZ73" s="5">
        <f t="shared" si="134"/>
        <v>3.3792061570162519</v>
      </c>
      <c r="BA73" s="5">
        <f t="shared" si="135"/>
        <v>0.46772098236992016</v>
      </c>
      <c r="BB73" s="147">
        <f t="shared" si="136"/>
        <v>35.54751812218845</v>
      </c>
      <c r="BC73" s="5"/>
      <c r="BD73" s="153">
        <f t="shared" si="163"/>
        <v>0.18803407112717982</v>
      </c>
      <c r="BE73" s="153">
        <f t="shared" si="137"/>
        <v>0.22377172713808594</v>
      </c>
      <c r="BF73" s="153">
        <f t="shared" si="138"/>
        <v>0.22406423919970433</v>
      </c>
      <c r="BG73" s="153"/>
      <c r="BH73" s="463">
        <f t="shared" si="139"/>
        <v>1.2374884166631461E-2</v>
      </c>
      <c r="BI73" s="463">
        <f t="shared" si="140"/>
        <v>2.0024065413842468E-2</v>
      </c>
      <c r="BJ73" s="463">
        <f t="shared" si="141"/>
        <v>3.2613372967216793E-3</v>
      </c>
      <c r="BK73" s="463">
        <f t="shared" si="142"/>
        <v>1.199262081634301E-2</v>
      </c>
      <c r="BL73">
        <f t="shared" si="143"/>
        <v>4.3499999999999997E-3</v>
      </c>
      <c r="BM73">
        <f t="shared" si="144"/>
        <v>6.5226745934433589E-6</v>
      </c>
      <c r="BN73">
        <f t="shared" si="145"/>
        <v>5.3802880645345587E-2</v>
      </c>
      <c r="BO73" s="147">
        <f t="shared" si="164"/>
        <v>53.802880645345589</v>
      </c>
      <c r="BP73" s="153">
        <f t="shared" si="146"/>
        <v>6.4232372401900564E-2</v>
      </c>
      <c r="BQ73" s="153">
        <f t="shared" si="147"/>
        <v>6.4332454432140737E-2</v>
      </c>
      <c r="BR73" s="463"/>
      <c r="BT73" s="147">
        <f t="shared" si="165"/>
        <v>128.5648268340413</v>
      </c>
      <c r="BU73" s="463">
        <f t="shared" si="148"/>
        <v>3.535681190466132E-2</v>
      </c>
      <c r="BV73" s="463">
        <f t="shared" si="149"/>
        <v>5.0073785866361985E-2</v>
      </c>
      <c r="BW73" s="463">
        <f t="shared" si="150"/>
        <v>2.510239164407116E-3</v>
      </c>
      <c r="BX73" s="463">
        <f t="shared" si="151"/>
        <v>0</v>
      </c>
      <c r="BY73" s="463">
        <f t="shared" si="152"/>
        <v>9.9191576588654157E-2</v>
      </c>
      <c r="BZ73" s="463">
        <f t="shared" si="166"/>
        <v>8.7940836935430408E-2</v>
      </c>
      <c r="CA73" s="549">
        <f t="shared" si="153"/>
        <v>3.3434159375023968E-2</v>
      </c>
      <c r="CB73" s="147">
        <f t="shared" si="167"/>
        <v>132.62573596367812</v>
      </c>
      <c r="CC73" s="153">
        <f t="shared" si="168"/>
        <v>0.31499344344306507</v>
      </c>
      <c r="CD73" s="5">
        <f t="shared" si="169"/>
        <v>2.1080000000000001</v>
      </c>
      <c r="CE73" s="153">
        <f t="shared" si="170"/>
        <v>0.86999822707094876</v>
      </c>
      <c r="CF73" s="5">
        <f t="shared" si="171"/>
        <v>86.999822707094879</v>
      </c>
      <c r="CG73">
        <f t="shared" si="172"/>
        <v>68</v>
      </c>
      <c r="CI73" s="59">
        <f t="shared" si="154"/>
        <v>-50</v>
      </c>
      <c r="CJ73">
        <f t="shared" si="155"/>
        <v>-50</v>
      </c>
    </row>
    <row r="74" spans="5:88" x14ac:dyDescent="0.25">
      <c r="E74" s="150">
        <v>69</v>
      </c>
      <c r="F74" s="191">
        <f t="shared" si="173"/>
        <v>6.8999999999999992E-2</v>
      </c>
      <c r="G74" s="191">
        <f t="shared" si="156"/>
        <v>6.8999999999999992E-2</v>
      </c>
      <c r="H74" s="191">
        <f t="shared" si="105"/>
        <v>1.0349999999999999</v>
      </c>
      <c r="I74" s="191">
        <f t="shared" si="174"/>
        <v>1.1039999999999999</v>
      </c>
      <c r="J74" s="472">
        <f t="shared" si="106"/>
        <v>15</v>
      </c>
      <c r="K74" s="386">
        <f t="shared" si="107"/>
        <v>15.32</v>
      </c>
      <c r="L74" s="386">
        <f t="shared" si="108"/>
        <v>30.32</v>
      </c>
      <c r="M74" s="386"/>
      <c r="N74" s="191">
        <f t="shared" si="109"/>
        <v>0.50527704485488123</v>
      </c>
      <c r="O74" s="152">
        <f t="shared" si="157"/>
        <v>1.237725019150566</v>
      </c>
      <c r="P74" s="152">
        <f t="shared" si="110"/>
        <v>2.7284960422163587</v>
      </c>
      <c r="Q74" s="191">
        <f t="shared" si="111"/>
        <v>8.25150012767044E-2</v>
      </c>
      <c r="R74" s="191">
        <f t="shared" si="112"/>
        <v>7.7357813696910374E-2</v>
      </c>
      <c r="S74" s="386">
        <f t="shared" si="113"/>
        <v>15</v>
      </c>
      <c r="T74" s="191">
        <f t="shared" si="114"/>
        <v>0.6271586887148245</v>
      </c>
      <c r="U74" s="191">
        <f t="shared" si="115"/>
        <v>1.9650972246397831</v>
      </c>
      <c r="V74" s="191">
        <f t="shared" si="116"/>
        <v>1.9240508074149312</v>
      </c>
      <c r="W74" s="175">
        <f t="shared" si="117"/>
        <v>350</v>
      </c>
      <c r="X74" s="386">
        <f t="shared" si="158"/>
        <v>257.12572310385423</v>
      </c>
      <c r="Z74" s="191">
        <f t="shared" si="118"/>
        <v>0.46073894667618365</v>
      </c>
      <c r="AA74" s="153">
        <f t="shared" si="119"/>
        <v>1.4134941575574826</v>
      </c>
      <c r="AB74" s="153">
        <f t="shared" si="120"/>
        <v>0.11396906662504547</v>
      </c>
      <c r="AC74" s="153"/>
      <c r="AD74" s="153">
        <f t="shared" si="121"/>
        <v>0.46018276762402083</v>
      </c>
      <c r="AE74" s="317">
        <f t="shared" si="122"/>
        <v>1999.2056737588655</v>
      </c>
      <c r="AF74" s="463">
        <f t="shared" si="123"/>
        <v>1.2079797650130546E-2</v>
      </c>
      <c r="AH74" s="153">
        <f t="shared" si="124"/>
        <v>0.50996155764288376</v>
      </c>
      <c r="AI74" s="153">
        <f t="shared" si="125"/>
        <v>0.50996155764288376</v>
      </c>
      <c r="AJ74" s="153">
        <f t="shared" si="126"/>
        <v>1.4666381908465804</v>
      </c>
      <c r="AL74" s="317">
        <f t="shared" si="127"/>
        <v>68.999999999999986</v>
      </c>
      <c r="AM74" s="147">
        <f t="shared" si="128"/>
        <v>257.12572310385423</v>
      </c>
      <c r="AO74">
        <f t="shared" si="159"/>
        <v>68.999999999999986</v>
      </c>
      <c r="AP74">
        <f t="shared" si="129"/>
        <v>257.12572310385423</v>
      </c>
      <c r="AR74" s="5">
        <f t="shared" si="160"/>
        <v>3.889148032054714</v>
      </c>
      <c r="AS74" s="5">
        <f t="shared" si="130"/>
        <v>1.5978795472810357</v>
      </c>
      <c r="AT74" s="5">
        <f t="shared" si="161"/>
        <v>2.2912684847736786</v>
      </c>
      <c r="AU74" s="153">
        <f t="shared" si="162"/>
        <v>0.41085593402749554</v>
      </c>
      <c r="AW74" s="5">
        <f t="shared" si="131"/>
        <v>0.96692791308641945</v>
      </c>
      <c r="AX74" s="5">
        <f t="shared" si="132"/>
        <v>7.1123156913066614</v>
      </c>
      <c r="AY74" s="5">
        <f t="shared" si="133"/>
        <v>0.96440494504700414</v>
      </c>
      <c r="AZ74" s="5">
        <f t="shared" si="134"/>
        <v>3.4772959588136612</v>
      </c>
      <c r="BA74" s="5">
        <f t="shared" si="135"/>
        <v>0.48405168285737271</v>
      </c>
      <c r="BB74" s="147">
        <f t="shared" si="136"/>
        <v>36.779209547636277</v>
      </c>
      <c r="BC74" s="5"/>
      <c r="BD74" s="153">
        <f t="shared" si="163"/>
        <v>0.18872159291027138</v>
      </c>
      <c r="BE74" s="153">
        <f t="shared" si="137"/>
        <v>0.22598913792612957</v>
      </c>
      <c r="BF74" s="153">
        <f t="shared" si="138"/>
        <v>0.22628454856394151</v>
      </c>
      <c r="BG74" s="153"/>
      <c r="BH74" s="463">
        <f t="shared" si="139"/>
        <v>1.2465543870706567E-2</v>
      </c>
      <c r="BI74" s="463">
        <f t="shared" si="140"/>
        <v>1.9878433914436701E-2</v>
      </c>
      <c r="BJ74" s="463">
        <f t="shared" si="141"/>
        <v>3.2140715387981777E-3</v>
      </c>
      <c r="BK74" s="463">
        <f t="shared" si="142"/>
        <v>1.1818814717555432E-2</v>
      </c>
      <c r="BL74">
        <f t="shared" si="143"/>
        <v>4.3499999999999997E-3</v>
      </c>
      <c r="BM74">
        <f t="shared" si="144"/>
        <v>6.428143077596355E-6</v>
      </c>
      <c r="BN74">
        <f t="shared" si="145"/>
        <v>5.3539275203040054E-2</v>
      </c>
      <c r="BO74" s="147">
        <f t="shared" si="164"/>
        <v>53.539275203040056</v>
      </c>
      <c r="BP74" s="153">
        <f t="shared" si="146"/>
        <v>6.5376313111894749E-2</v>
      </c>
      <c r="BQ74" s="153">
        <f t="shared" si="147"/>
        <v>6.547838844595312E-2</v>
      </c>
      <c r="BR74" s="463"/>
      <c r="BT74" s="147">
        <f t="shared" si="165"/>
        <v>130.85470155784787</v>
      </c>
      <c r="BU74" s="463">
        <f t="shared" si="148"/>
        <v>3.5615839630590194E-2</v>
      </c>
      <c r="BV74" s="463">
        <f t="shared" si="149"/>
        <v>5.1071090460595214E-2</v>
      </c>
      <c r="BW74" s="463">
        <f t="shared" si="150"/>
        <v>2.5602348459393405E-3</v>
      </c>
      <c r="BX74" s="463">
        <f t="shared" si="151"/>
        <v>0</v>
      </c>
      <c r="BY74" s="463">
        <f t="shared" si="152"/>
        <v>0.10067562586451402</v>
      </c>
      <c r="BZ74" s="463">
        <f t="shared" si="166"/>
        <v>8.9247164937124757E-2</v>
      </c>
      <c r="CA74" s="549">
        <f t="shared" si="153"/>
        <v>3.3434159375023975E-2</v>
      </c>
      <c r="CB74" s="147">
        <f t="shared" si="167"/>
        <v>134.10978523953798</v>
      </c>
      <c r="CC74" s="153">
        <f t="shared" si="168"/>
        <v>0.31850376200042591</v>
      </c>
      <c r="CD74" s="5">
        <f t="shared" si="169"/>
        <v>2.1389999999999998</v>
      </c>
      <c r="CE74" s="153">
        <f t="shared" si="170"/>
        <v>0.87039541223686201</v>
      </c>
      <c r="CF74" s="5">
        <f t="shared" si="171"/>
        <v>87.0395412236862</v>
      </c>
      <c r="CG74">
        <f t="shared" si="172"/>
        <v>68.999999999999986</v>
      </c>
      <c r="CI74" s="59">
        <f t="shared" si="154"/>
        <v>-50</v>
      </c>
      <c r="CJ74">
        <f t="shared" si="155"/>
        <v>-50</v>
      </c>
    </row>
    <row r="75" spans="5:88" x14ac:dyDescent="0.25">
      <c r="E75" s="150">
        <v>70</v>
      </c>
      <c r="F75" s="191">
        <f t="shared" si="173"/>
        <v>6.9999999999999993E-2</v>
      </c>
      <c r="G75" s="191">
        <f t="shared" si="156"/>
        <v>6.9999999999999993E-2</v>
      </c>
      <c r="H75" s="191">
        <f t="shared" si="105"/>
        <v>1.0499999999999998</v>
      </c>
      <c r="I75" s="191">
        <f t="shared" si="174"/>
        <v>1.1199999999999999</v>
      </c>
      <c r="J75" s="472">
        <f t="shared" si="106"/>
        <v>15</v>
      </c>
      <c r="K75" s="386">
        <f t="shared" si="107"/>
        <v>15.32</v>
      </c>
      <c r="L75" s="386">
        <f t="shared" si="108"/>
        <v>30.32</v>
      </c>
      <c r="M75" s="386"/>
      <c r="N75" s="191">
        <f t="shared" si="109"/>
        <v>0.50527704485488123</v>
      </c>
      <c r="O75" s="152">
        <f t="shared" si="157"/>
        <v>1.237725019150566</v>
      </c>
      <c r="P75" s="152">
        <f t="shared" si="110"/>
        <v>2.7284960422163587</v>
      </c>
      <c r="Q75" s="191">
        <f t="shared" si="111"/>
        <v>8.25150012767044E-2</v>
      </c>
      <c r="R75" s="191">
        <f t="shared" si="112"/>
        <v>7.7357813696910374E-2</v>
      </c>
      <c r="S75" s="386">
        <f t="shared" si="113"/>
        <v>15</v>
      </c>
      <c r="T75" s="191">
        <f t="shared" si="114"/>
        <v>0.63624794507301041</v>
      </c>
      <c r="U75" s="191">
        <f t="shared" si="115"/>
        <v>1.9935768945620993</v>
      </c>
      <c r="V75" s="191">
        <f t="shared" si="116"/>
        <v>1.9519356017252929</v>
      </c>
      <c r="W75" s="175">
        <f t="shared" si="117"/>
        <v>350</v>
      </c>
      <c r="X75" s="386">
        <f t="shared" si="158"/>
        <v>253.45249848808481</v>
      </c>
      <c r="Z75" s="191">
        <f t="shared" si="118"/>
        <v>0.46073894667618365</v>
      </c>
      <c r="AA75" s="153">
        <f t="shared" si="119"/>
        <v>1.4134941575574826</v>
      </c>
      <c r="AB75" s="153">
        <f t="shared" si="120"/>
        <v>0.11396906662504547</v>
      </c>
      <c r="AC75" s="153"/>
      <c r="AD75" s="153">
        <f t="shared" si="121"/>
        <v>0.46018276762402083</v>
      </c>
      <c r="AE75" s="317">
        <f t="shared" si="122"/>
        <v>2028.1796690307331</v>
      </c>
      <c r="AF75" s="463">
        <f t="shared" si="123"/>
        <v>1.2079797650130546E-2</v>
      </c>
      <c r="AH75" s="153">
        <f t="shared" si="124"/>
        <v>0.51364363836617555</v>
      </c>
      <c r="AI75" s="153">
        <f t="shared" si="125"/>
        <v>0.51364363836617555</v>
      </c>
      <c r="AJ75" s="153">
        <f t="shared" si="126"/>
        <v>1.4693656580490189</v>
      </c>
      <c r="AL75" s="317">
        <f t="shared" si="127"/>
        <v>69.999999999999986</v>
      </c>
      <c r="AM75" s="147">
        <f t="shared" si="128"/>
        <v>253.45249848808481</v>
      </c>
      <c r="AO75">
        <f t="shared" si="159"/>
        <v>69.999999999999986</v>
      </c>
      <c r="AP75">
        <f t="shared" si="129"/>
        <v>253.45249848808481</v>
      </c>
      <c r="AR75" s="5">
        <f t="shared" si="160"/>
        <v>3.9455124962873924</v>
      </c>
      <c r="AS75" s="5">
        <f t="shared" si="130"/>
        <v>1.6094167335473499</v>
      </c>
      <c r="AT75" s="5">
        <f t="shared" si="161"/>
        <v>2.3360957627400425</v>
      </c>
      <c r="AU75" s="153">
        <f t="shared" si="162"/>
        <v>0.4079106922261081</v>
      </c>
      <c r="AW75" s="5">
        <f t="shared" si="131"/>
        <v>0.96692791308641945</v>
      </c>
      <c r="AX75" s="5">
        <f t="shared" si="132"/>
        <v>7.3169201611851813</v>
      </c>
      <c r="AY75" s="5">
        <f t="shared" si="133"/>
        <v>0.96440494504700414</v>
      </c>
      <c r="AZ75" s="5">
        <f t="shared" si="134"/>
        <v>3.5767885314402315</v>
      </c>
      <c r="BA75" s="5">
        <f t="shared" si="135"/>
        <v>0.50067435112552017</v>
      </c>
      <c r="BB75" s="147">
        <f t="shared" si="136"/>
        <v>38.032798556636237</v>
      </c>
      <c r="BC75" s="5"/>
      <c r="BD75" s="153">
        <f t="shared" si="163"/>
        <v>0.18940168174236213</v>
      </c>
      <c r="BE75" s="153">
        <f t="shared" si="137"/>
        <v>0.22818910001249504</v>
      </c>
      <c r="BF75" s="153">
        <f t="shared" si="138"/>
        <v>0.22848738641774011</v>
      </c>
      <c r="BG75" s="153"/>
      <c r="BH75" s="463">
        <f t="shared" si="139"/>
        <v>1.2555548966392261E-2</v>
      </c>
      <c r="BI75" s="463">
        <f t="shared" si="140"/>
        <v>1.9735934343024893E-2</v>
      </c>
      <c r="BJ75" s="463">
        <f t="shared" si="141"/>
        <v>3.1681562311010603E-3</v>
      </c>
      <c r="BK75" s="463">
        <f t="shared" si="142"/>
        <v>1.1649974507304636E-2</v>
      </c>
      <c r="BL75">
        <f t="shared" si="143"/>
        <v>4.3499999999999997E-3</v>
      </c>
      <c r="BM75">
        <f t="shared" si="144"/>
        <v>6.3363124622021202E-6</v>
      </c>
      <c r="BN75">
        <f t="shared" si="145"/>
        <v>5.3284382678444778E-2</v>
      </c>
      <c r="BO75" s="147">
        <f t="shared" si="164"/>
        <v>53.284382678444778</v>
      </c>
      <c r="BP75" s="153">
        <f t="shared" si="146"/>
        <v>6.6521682738487534E-2</v>
      </c>
      <c r="BQ75" s="153">
        <f t="shared" si="147"/>
        <v>6.6625755114535404E-2</v>
      </c>
      <c r="BR75" s="463"/>
      <c r="BT75" s="147">
        <f t="shared" si="165"/>
        <v>133.14743785302295</v>
      </c>
      <c r="BU75" s="463">
        <f t="shared" si="148"/>
        <v>3.5872997046835033E-2</v>
      </c>
      <c r="BV75" s="463">
        <f t="shared" si="149"/>
        <v>5.2070265364512466E-2</v>
      </c>
      <c r="BW75" s="463">
        <f t="shared" si="150"/>
        <v>2.6103242876004845E-3</v>
      </c>
      <c r="BX75" s="463">
        <f t="shared" si="151"/>
        <v>0</v>
      </c>
      <c r="BY75" s="463">
        <f t="shared" si="152"/>
        <v>0.10216009413815874</v>
      </c>
      <c r="BZ75" s="463">
        <f t="shared" si="166"/>
        <v>9.0553586698947988E-2</v>
      </c>
      <c r="CA75" s="549">
        <f t="shared" si="153"/>
        <v>3.3434159375023961E-2</v>
      </c>
      <c r="CB75" s="147">
        <f t="shared" si="167"/>
        <v>135.59425351318271</v>
      </c>
      <c r="CC75" s="153">
        <f t="shared" si="168"/>
        <v>0.32202607404465045</v>
      </c>
      <c r="CD75" s="5">
        <f t="shared" si="169"/>
        <v>2.17</v>
      </c>
      <c r="CE75" s="153">
        <f t="shared" si="170"/>
        <v>0.87077740582304974</v>
      </c>
      <c r="CF75" s="5">
        <f t="shared" si="171"/>
        <v>87.077740582304969</v>
      </c>
      <c r="CG75">
        <f t="shared" si="172"/>
        <v>69.999999999999986</v>
      </c>
      <c r="CI75" s="59">
        <f t="shared" si="154"/>
        <v>-50</v>
      </c>
      <c r="CJ75">
        <f t="shared" si="155"/>
        <v>-50</v>
      </c>
    </row>
    <row r="76" spans="5:88" x14ac:dyDescent="0.25">
      <c r="E76" s="150">
        <v>71</v>
      </c>
      <c r="F76" s="191">
        <f t="shared" si="173"/>
        <v>7.0999999999999994E-2</v>
      </c>
      <c r="G76" s="191">
        <f t="shared" si="156"/>
        <v>7.0999999999999994E-2</v>
      </c>
      <c r="H76" s="191">
        <f t="shared" si="105"/>
        <v>1.0649999999999999</v>
      </c>
      <c r="I76" s="191">
        <f t="shared" si="174"/>
        <v>1.1359999999999999</v>
      </c>
      <c r="J76" s="472">
        <f t="shared" si="106"/>
        <v>15</v>
      </c>
      <c r="K76" s="386">
        <f t="shared" si="107"/>
        <v>15.32</v>
      </c>
      <c r="L76" s="386">
        <f t="shared" si="108"/>
        <v>30.32</v>
      </c>
      <c r="M76" s="386"/>
      <c r="N76" s="191">
        <f t="shared" si="109"/>
        <v>0.50527704485488123</v>
      </c>
      <c r="O76" s="152">
        <f t="shared" si="157"/>
        <v>1.237725019150566</v>
      </c>
      <c r="P76" s="152">
        <f t="shared" si="110"/>
        <v>2.7284960422163587</v>
      </c>
      <c r="Q76" s="191">
        <f t="shared" si="111"/>
        <v>8.25150012767044E-2</v>
      </c>
      <c r="R76" s="191">
        <f t="shared" si="112"/>
        <v>7.7357813696910374E-2</v>
      </c>
      <c r="S76" s="386">
        <f t="shared" si="113"/>
        <v>15</v>
      </c>
      <c r="T76" s="191">
        <f t="shared" si="114"/>
        <v>0.64533720143119622</v>
      </c>
      <c r="U76" s="191">
        <f t="shared" si="115"/>
        <v>2.0220565644844144</v>
      </c>
      <c r="V76" s="191">
        <f t="shared" si="116"/>
        <v>1.9798203960356542</v>
      </c>
      <c r="W76" s="175">
        <f t="shared" si="117"/>
        <v>350</v>
      </c>
      <c r="X76" s="386">
        <f t="shared" si="158"/>
        <v>249.88274498825268</v>
      </c>
      <c r="Z76" s="191">
        <f t="shared" si="118"/>
        <v>0.46073894667618365</v>
      </c>
      <c r="AA76" s="153">
        <f t="shared" si="119"/>
        <v>1.4134941575574826</v>
      </c>
      <c r="AB76" s="153">
        <f t="shared" si="120"/>
        <v>0.11396906662504547</v>
      </c>
      <c r="AC76" s="153"/>
      <c r="AD76" s="153">
        <f t="shared" si="121"/>
        <v>0.46018276762402083</v>
      </c>
      <c r="AE76" s="317">
        <f t="shared" si="122"/>
        <v>2057.1536643026006</v>
      </c>
      <c r="AF76" s="463">
        <f t="shared" si="123"/>
        <v>1.2079797650130546E-2</v>
      </c>
      <c r="AH76" s="153">
        <f t="shared" si="124"/>
        <v>0.5172995111098877</v>
      </c>
      <c r="AI76" s="153">
        <f t="shared" si="125"/>
        <v>0.5172995111098877</v>
      </c>
      <c r="AJ76" s="153">
        <f t="shared" si="126"/>
        <v>1.4720737119332501</v>
      </c>
      <c r="AL76" s="317">
        <f t="shared" si="127"/>
        <v>71</v>
      </c>
      <c r="AM76" s="147">
        <f t="shared" si="128"/>
        <v>249.88274498825268</v>
      </c>
      <c r="AO76">
        <f t="shared" si="159"/>
        <v>71</v>
      </c>
      <c r="AP76">
        <f t="shared" si="129"/>
        <v>249.88274498825268</v>
      </c>
      <c r="AR76" s="5">
        <f t="shared" si="160"/>
        <v>4.0018769605200681</v>
      </c>
      <c r="AS76" s="5">
        <f t="shared" si="130"/>
        <v>1.6208718014776482</v>
      </c>
      <c r="AT76" s="5">
        <f t="shared" si="161"/>
        <v>2.3810051590424202</v>
      </c>
      <c r="AU76" s="153">
        <f t="shared" si="162"/>
        <v>0.40502789502728892</v>
      </c>
      <c r="AW76" s="5">
        <f t="shared" si="131"/>
        <v>0.96692791308641945</v>
      </c>
      <c r="AX76" s="5">
        <f t="shared" si="132"/>
        <v>7.524425414802959</v>
      </c>
      <c r="AY76" s="5">
        <f t="shared" si="133"/>
        <v>0.96440494504700414</v>
      </c>
      <c r="AZ76" s="5">
        <f t="shared" si="134"/>
        <v>3.677683874895961</v>
      </c>
      <c r="BA76" s="5">
        <f t="shared" si="135"/>
        <v>0.51758936840023362</v>
      </c>
      <c r="BB76" s="147">
        <f t="shared" si="136"/>
        <v>39.308313741128636</v>
      </c>
      <c r="BC76" s="5"/>
      <c r="BD76" s="153">
        <f t="shared" si="163"/>
        <v>0.19007452246787465</v>
      </c>
      <c r="BE76" s="153">
        <f t="shared" si="137"/>
        <v>0.23037202660071171</v>
      </c>
      <c r="BF76" s="153">
        <f t="shared" si="138"/>
        <v>0.23067316650476491</v>
      </c>
      <c r="BG76" s="153"/>
      <c r="BH76" s="463">
        <f t="shared" si="139"/>
        <v>1.2644913431986704E-2</v>
      </c>
      <c r="BI76" s="463">
        <f t="shared" si="140"/>
        <v>1.9596456027490532E-2</v>
      </c>
      <c r="BJ76" s="463">
        <f t="shared" si="141"/>
        <v>3.1235343123531584E-3</v>
      </c>
      <c r="BK76" s="463">
        <f t="shared" si="142"/>
        <v>1.1485890359314433E-2</v>
      </c>
      <c r="BL76">
        <f t="shared" si="143"/>
        <v>4.3499999999999997E-3</v>
      </c>
      <c r="BM76">
        <f t="shared" si="144"/>
        <v>6.2470686247063166E-6</v>
      </c>
      <c r="BN76">
        <f t="shared" si="145"/>
        <v>5.3037841081816507E-2</v>
      </c>
      <c r="BO76" s="147">
        <f t="shared" si="164"/>
        <v>53.037841081816509</v>
      </c>
      <c r="BP76" s="153">
        <f t="shared" si="146"/>
        <v>6.7668450769050939E-2</v>
      </c>
      <c r="BQ76" s="153">
        <f t="shared" si="147"/>
        <v>6.7774523845435933E-2</v>
      </c>
      <c r="BR76" s="463"/>
      <c r="BT76" s="147">
        <f t="shared" si="165"/>
        <v>135.44297461448687</v>
      </c>
      <c r="BU76" s="463">
        <f t="shared" si="148"/>
        <v>3.6128324091390586E-2</v>
      </c>
      <c r="BV76" s="463">
        <f t="shared" si="149"/>
        <v>5.3071270640119024E-2</v>
      </c>
      <c r="BW76" s="463">
        <f t="shared" si="150"/>
        <v>2.66050548726675E-3</v>
      </c>
      <c r="BX76" s="463">
        <f t="shared" si="151"/>
        <v>0</v>
      </c>
      <c r="BY76" s="463">
        <f t="shared" si="152"/>
        <v>0.10364497929988235</v>
      </c>
      <c r="BZ76" s="463">
        <f t="shared" si="166"/>
        <v>9.1860100218776358E-2</v>
      </c>
      <c r="CA76" s="549">
        <f t="shared" si="153"/>
        <v>3.3434159375023961E-2</v>
      </c>
      <c r="CB76" s="147">
        <f t="shared" si="167"/>
        <v>137.07913867490632</v>
      </c>
      <c r="CC76" s="153">
        <f t="shared" si="168"/>
        <v>0.32555995437120971</v>
      </c>
      <c r="CD76" s="5">
        <f t="shared" si="169"/>
        <v>2.2009999999999996</v>
      </c>
      <c r="CE76" s="153">
        <f t="shared" si="170"/>
        <v>0.87114497172016148</v>
      </c>
      <c r="CF76" s="5">
        <f t="shared" si="171"/>
        <v>87.114497172016144</v>
      </c>
      <c r="CG76">
        <f t="shared" si="172"/>
        <v>70.999999999999986</v>
      </c>
      <c r="CI76" s="59">
        <f t="shared" si="154"/>
        <v>-50</v>
      </c>
      <c r="CJ76">
        <f t="shared" si="155"/>
        <v>-50</v>
      </c>
    </row>
    <row r="77" spans="5:88" x14ac:dyDescent="0.25">
      <c r="E77" s="150">
        <v>72</v>
      </c>
      <c r="F77" s="191">
        <f t="shared" si="173"/>
        <v>7.1999999999999995E-2</v>
      </c>
      <c r="G77" s="191">
        <f t="shared" si="156"/>
        <v>7.1999999999999995E-2</v>
      </c>
      <c r="H77" s="191">
        <f t="shared" si="105"/>
        <v>1.0799999999999998</v>
      </c>
      <c r="I77" s="191">
        <f t="shared" si="174"/>
        <v>1.1519999999999999</v>
      </c>
      <c r="J77" s="472">
        <f t="shared" si="106"/>
        <v>15</v>
      </c>
      <c r="K77" s="386">
        <f t="shared" si="107"/>
        <v>15.32</v>
      </c>
      <c r="L77" s="386">
        <f t="shared" si="108"/>
        <v>30.32</v>
      </c>
      <c r="M77" s="386"/>
      <c r="N77" s="191">
        <f t="shared" si="109"/>
        <v>0.50527704485488123</v>
      </c>
      <c r="O77" s="152">
        <f t="shared" si="157"/>
        <v>1.237725019150566</v>
      </c>
      <c r="P77" s="152">
        <f t="shared" si="110"/>
        <v>2.7284960422163587</v>
      </c>
      <c r="Q77" s="191">
        <f t="shared" si="111"/>
        <v>8.25150012767044E-2</v>
      </c>
      <c r="R77" s="191">
        <f t="shared" si="112"/>
        <v>7.7357813696910374E-2</v>
      </c>
      <c r="S77" s="386">
        <f t="shared" si="113"/>
        <v>15</v>
      </c>
      <c r="T77" s="191">
        <f t="shared" si="114"/>
        <v>0.65442645778938202</v>
      </c>
      <c r="U77" s="191">
        <f t="shared" si="115"/>
        <v>2.0505362344067302</v>
      </c>
      <c r="V77" s="191">
        <f t="shared" si="116"/>
        <v>2.0077051903460155</v>
      </c>
      <c r="W77" s="175">
        <f t="shared" si="117"/>
        <v>350</v>
      </c>
      <c r="X77" s="386">
        <f t="shared" si="158"/>
        <v>246.41215130786026</v>
      </c>
      <c r="Z77" s="191">
        <f t="shared" si="118"/>
        <v>0.46073894667618365</v>
      </c>
      <c r="AA77" s="153">
        <f t="shared" si="119"/>
        <v>1.4134941575574826</v>
      </c>
      <c r="AB77" s="153">
        <f t="shared" si="120"/>
        <v>0.11396906662504547</v>
      </c>
      <c r="AC77" s="153"/>
      <c r="AD77" s="153">
        <f t="shared" si="121"/>
        <v>0.46018276762402083</v>
      </c>
      <c r="AE77" s="317">
        <f t="shared" si="122"/>
        <v>2086.1276595744685</v>
      </c>
      <c r="AF77" s="463">
        <f t="shared" si="123"/>
        <v>1.2079797650130546E-2</v>
      </c>
      <c r="AH77" s="153">
        <f t="shared" si="124"/>
        <v>0.52092972765529055</v>
      </c>
      <c r="AI77" s="153">
        <f t="shared" si="125"/>
        <v>0.52092972765529055</v>
      </c>
      <c r="AJ77" s="153">
        <f t="shared" si="126"/>
        <v>1.4747627612261411</v>
      </c>
      <c r="AL77" s="317">
        <f t="shared" si="127"/>
        <v>72</v>
      </c>
      <c r="AM77" s="147">
        <f t="shared" si="128"/>
        <v>246.41215130786026</v>
      </c>
      <c r="AO77">
        <f t="shared" si="159"/>
        <v>72</v>
      </c>
      <c r="AP77">
        <f t="shared" si="129"/>
        <v>246.41215130786026</v>
      </c>
      <c r="AR77" s="5">
        <f t="shared" si="160"/>
        <v>4.0582414247527456</v>
      </c>
      <c r="AS77" s="5">
        <f t="shared" si="130"/>
        <v>1.6322464799865772</v>
      </c>
      <c r="AT77" s="5">
        <f t="shared" si="161"/>
        <v>2.4259949447661686</v>
      </c>
      <c r="AU77" s="153">
        <f t="shared" si="162"/>
        <v>0.4022053665981748</v>
      </c>
      <c r="AW77" s="5">
        <f t="shared" si="131"/>
        <v>0.96692791308641945</v>
      </c>
      <c r="AX77" s="5">
        <f t="shared" si="132"/>
        <v>7.7348314521599955</v>
      </c>
      <c r="AY77" s="5">
        <f t="shared" si="133"/>
        <v>0.96440494504700414</v>
      </c>
      <c r="AZ77" s="5">
        <f t="shared" si="134"/>
        <v>3.7799819891808495</v>
      </c>
      <c r="BA77" s="5">
        <f t="shared" si="135"/>
        <v>0.53479710782400869</v>
      </c>
      <c r="BB77" s="147">
        <f t="shared" si="136"/>
        <v>40.605783086800642</v>
      </c>
      <c r="BC77" s="5"/>
      <c r="BD77" s="153">
        <f t="shared" si="163"/>
        <v>0.1907402928088226</v>
      </c>
      <c r="BE77" s="153">
        <f t="shared" si="137"/>
        <v>0.23253831458681457</v>
      </c>
      <c r="BF77" s="153">
        <f t="shared" si="138"/>
        <v>0.23284228623986925</v>
      </c>
      <c r="BG77" s="153"/>
      <c r="BH77" s="463">
        <f t="shared" si="139"/>
        <v>1.2733650755278384E-2</v>
      </c>
      <c r="BI77" s="463">
        <f t="shared" si="140"/>
        <v>1.9459893694558496E-2</v>
      </c>
      <c r="BJ77" s="463">
        <f t="shared" si="141"/>
        <v>3.0801518913482532E-3</v>
      </c>
      <c r="BK77" s="463">
        <f t="shared" si="142"/>
        <v>1.1326364104323954E-2</v>
      </c>
      <c r="BL77">
        <f t="shared" si="143"/>
        <v>4.3499999999999997E-3</v>
      </c>
      <c r="BM77">
        <f t="shared" si="144"/>
        <v>6.1603037826965064E-6</v>
      </c>
      <c r="BN77">
        <f t="shared" si="145"/>
        <v>5.2799308107949479E-2</v>
      </c>
      <c r="BO77" s="147">
        <f t="shared" si="164"/>
        <v>52.799308107949479</v>
      </c>
      <c r="BP77" s="153">
        <f t="shared" si="146"/>
        <v>6.8816587761669532E-2</v>
      </c>
      <c r="BQ77" s="153">
        <f t="shared" si="147"/>
        <v>6.8924665119716635E-2</v>
      </c>
      <c r="BR77" s="463"/>
      <c r="BT77" s="147">
        <f t="shared" si="165"/>
        <v>137.74125288138617</v>
      </c>
      <c r="BU77" s="463">
        <f t="shared" si="148"/>
        <v>3.6381859300795384E-2</v>
      </c>
      <c r="BV77" s="463">
        <f t="shared" si="149"/>
        <v>5.4074067750876337E-2</v>
      </c>
      <c r="BW77" s="463">
        <f t="shared" si="150"/>
        <v>2.7107765130704605E-3</v>
      </c>
      <c r="BX77" s="463">
        <f t="shared" si="151"/>
        <v>0</v>
      </c>
      <c r="BY77" s="463">
        <f t="shared" si="152"/>
        <v>0.10513027931802332</v>
      </c>
      <c r="BZ77" s="463">
        <f t="shared" si="166"/>
        <v>9.3166703564742173E-2</v>
      </c>
      <c r="CA77" s="549">
        <f t="shared" si="153"/>
        <v>3.3434159375023968E-2</v>
      </c>
      <c r="CB77" s="147">
        <f t="shared" si="167"/>
        <v>138.56443869304729</v>
      </c>
      <c r="CC77" s="153">
        <f t="shared" si="168"/>
        <v>0.32910499968238294</v>
      </c>
      <c r="CD77" s="5">
        <f t="shared" si="169"/>
        <v>2.2319999999999998</v>
      </c>
      <c r="CE77" s="153">
        <f t="shared" si="170"/>
        <v>0.87149882581026672</v>
      </c>
      <c r="CF77" s="5">
        <f t="shared" si="171"/>
        <v>87.149882581026674</v>
      </c>
      <c r="CG77">
        <f t="shared" si="172"/>
        <v>71.999999999999986</v>
      </c>
      <c r="CI77" s="59">
        <f t="shared" si="154"/>
        <v>-50</v>
      </c>
      <c r="CJ77">
        <f t="shared" si="155"/>
        <v>-50</v>
      </c>
    </row>
    <row r="78" spans="5:88" x14ac:dyDescent="0.25">
      <c r="E78" s="150">
        <v>73</v>
      </c>
      <c r="F78" s="191">
        <f t="shared" si="173"/>
        <v>7.2999999999999995E-2</v>
      </c>
      <c r="G78" s="191">
        <f t="shared" si="156"/>
        <v>7.2999999999999995E-2</v>
      </c>
      <c r="H78" s="191">
        <f t="shared" si="105"/>
        <v>1.095</v>
      </c>
      <c r="I78" s="191">
        <f t="shared" si="174"/>
        <v>1.1679999999999999</v>
      </c>
      <c r="J78" s="472">
        <f t="shared" si="106"/>
        <v>15</v>
      </c>
      <c r="K78" s="386">
        <f t="shared" si="107"/>
        <v>15.32</v>
      </c>
      <c r="L78" s="386">
        <f t="shared" si="108"/>
        <v>30.32</v>
      </c>
      <c r="M78" s="386"/>
      <c r="N78" s="191">
        <f t="shared" si="109"/>
        <v>0.50527704485488123</v>
      </c>
      <c r="O78" s="152">
        <f t="shared" si="157"/>
        <v>1.237725019150566</v>
      </c>
      <c r="P78" s="152">
        <f t="shared" si="110"/>
        <v>2.7284960422163587</v>
      </c>
      <c r="Q78" s="191">
        <f t="shared" si="111"/>
        <v>8.25150012767044E-2</v>
      </c>
      <c r="R78" s="191">
        <f t="shared" si="112"/>
        <v>7.7357813696910374E-2</v>
      </c>
      <c r="S78" s="386">
        <f t="shared" si="113"/>
        <v>15</v>
      </c>
      <c r="T78" s="191">
        <f t="shared" si="114"/>
        <v>0.66351571414756794</v>
      </c>
      <c r="U78" s="191">
        <f t="shared" si="115"/>
        <v>2.0790159043290459</v>
      </c>
      <c r="V78" s="191">
        <f t="shared" si="116"/>
        <v>2.0355899846563767</v>
      </c>
      <c r="W78" s="175">
        <f t="shared" si="117"/>
        <v>350</v>
      </c>
      <c r="X78" s="386">
        <f t="shared" si="158"/>
        <v>243.03664238583474</v>
      </c>
      <c r="Z78" s="191">
        <f t="shared" si="118"/>
        <v>0.46073894667618365</v>
      </c>
      <c r="AA78" s="153">
        <f t="shared" si="119"/>
        <v>1.4134941575574826</v>
      </c>
      <c r="AB78" s="153">
        <f t="shared" si="120"/>
        <v>0.11396906662504547</v>
      </c>
      <c r="AC78" s="153"/>
      <c r="AD78" s="153">
        <f t="shared" si="121"/>
        <v>0.46018276762402083</v>
      </c>
      <c r="AE78" s="317">
        <f t="shared" si="122"/>
        <v>2115.1016548463363</v>
      </c>
      <c r="AF78" s="463">
        <f t="shared" si="123"/>
        <v>1.2079797650130546E-2</v>
      </c>
      <c r="AH78" s="153">
        <f t="shared" si="124"/>
        <v>0.52453482068924795</v>
      </c>
      <c r="AI78" s="153">
        <f t="shared" si="125"/>
        <v>0.52453482068924795</v>
      </c>
      <c r="AJ78" s="153">
        <f t="shared" si="126"/>
        <v>1.4774332005105539</v>
      </c>
      <c r="AL78" s="317">
        <f t="shared" si="127"/>
        <v>73</v>
      </c>
      <c r="AM78" s="147">
        <f t="shared" si="128"/>
        <v>243.03664238583474</v>
      </c>
      <c r="AO78">
        <f t="shared" si="159"/>
        <v>73</v>
      </c>
      <c r="AP78">
        <f t="shared" si="129"/>
        <v>243.03664238583474</v>
      </c>
      <c r="AR78" s="5">
        <f t="shared" si="160"/>
        <v>4.114605888985424</v>
      </c>
      <c r="AS78" s="5">
        <f t="shared" si="130"/>
        <v>1.6435424381596435</v>
      </c>
      <c r="AT78" s="5">
        <f t="shared" si="161"/>
        <v>2.4710634508257803</v>
      </c>
      <c r="AU78" s="153">
        <f t="shared" si="162"/>
        <v>0.39944103578894813</v>
      </c>
      <c r="AW78" s="5">
        <f t="shared" si="131"/>
        <v>0.96692791308641945</v>
      </c>
      <c r="AX78" s="5">
        <f t="shared" si="132"/>
        <v>7.9481382732562924</v>
      </c>
      <c r="AY78" s="5">
        <f t="shared" si="133"/>
        <v>0.96440494504700414</v>
      </c>
      <c r="AZ78" s="5">
        <f t="shared" si="134"/>
        <v>3.8836828742948972</v>
      </c>
      <c r="BA78" s="5">
        <f t="shared" si="135"/>
        <v>0.55229793473765343</v>
      </c>
      <c r="BB78" s="147">
        <f t="shared" si="136"/>
        <v>41.925233994212888</v>
      </c>
      <c r="BC78" s="5"/>
      <c r="BD78" s="153">
        <f t="shared" si="163"/>
        <v>0.19139916373388355</v>
      </c>
      <c r="BE78" s="153">
        <f t="shared" si="137"/>
        <v>0.23468834545797934</v>
      </c>
      <c r="BF78" s="153">
        <f t="shared" si="138"/>
        <v>0.23499512760890481</v>
      </c>
      <c r="BG78" s="153"/>
      <c r="BH78" s="463">
        <f t="shared" si="139"/>
        <v>1.2821773957310486E-2</v>
      </c>
      <c r="BI78" s="463">
        <f t="shared" si="140"/>
        <v>1.932614713583124E-2</v>
      </c>
      <c r="BJ78" s="463">
        <f t="shared" si="141"/>
        <v>3.0379580298229339E-3</v>
      </c>
      <c r="BK78" s="463">
        <f t="shared" si="142"/>
        <v>1.1171208431661981E-2</v>
      </c>
      <c r="BL78">
        <f t="shared" si="143"/>
        <v>4.3499999999999997E-3</v>
      </c>
      <c r="BM78">
        <f t="shared" si="144"/>
        <v>6.0759160596458682E-6</v>
      </c>
      <c r="BN78">
        <f t="shared" si="145"/>
        <v>5.2568459812633986E-2</v>
      </c>
      <c r="BO78" s="147">
        <f t="shared" si="164"/>
        <v>52.568459812633989</v>
      </c>
      <c r="BP78" s="153">
        <f t="shared" si="146"/>
        <v>6.9966065293266155E-2</v>
      </c>
      <c r="BQ78" s="153">
        <f t="shared" si="147"/>
        <v>7.0076150439943058E-2</v>
      </c>
      <c r="BR78" s="463"/>
      <c r="BT78" s="147">
        <f t="shared" si="165"/>
        <v>140.04221573320922</v>
      </c>
      <c r="BU78" s="463">
        <f t="shared" si="148"/>
        <v>3.6633639878029964E-2</v>
      </c>
      <c r="BV78" s="463">
        <f t="shared" si="149"/>
        <v>5.5078619493803854E-2</v>
      </c>
      <c r="BW78" s="463">
        <f t="shared" si="150"/>
        <v>2.7611354999962732E-3</v>
      </c>
      <c r="BX78" s="463">
        <f t="shared" si="151"/>
        <v>0</v>
      </c>
      <c r="BY78" s="463">
        <f t="shared" si="152"/>
        <v>0.10661599223517658</v>
      </c>
      <c r="BZ78" s="463">
        <f t="shared" si="166"/>
        <v>9.4473394871830096E-2</v>
      </c>
      <c r="CA78" s="549">
        <f t="shared" si="153"/>
        <v>3.3434159375023954E-2</v>
      </c>
      <c r="CB78" s="147">
        <f t="shared" si="167"/>
        <v>140.05015161020054</v>
      </c>
      <c r="CC78" s="153">
        <f t="shared" si="168"/>
        <v>0.33266082715604378</v>
      </c>
      <c r="CD78" s="5">
        <f t="shared" si="169"/>
        <v>2.2629999999999999</v>
      </c>
      <c r="CE78" s="153">
        <f t="shared" si="170"/>
        <v>0.87183963957242971</v>
      </c>
      <c r="CF78" s="5">
        <f t="shared" si="171"/>
        <v>87.183963957242966</v>
      </c>
      <c r="CG78">
        <f t="shared" si="172"/>
        <v>72.999999999999986</v>
      </c>
      <c r="CI78" s="59">
        <f t="shared" si="154"/>
        <v>-50</v>
      </c>
      <c r="CJ78">
        <f t="shared" si="155"/>
        <v>-50</v>
      </c>
    </row>
    <row r="79" spans="5:88" x14ac:dyDescent="0.25">
      <c r="E79" s="150">
        <v>74</v>
      </c>
      <c r="F79" s="191">
        <f t="shared" si="173"/>
        <v>7.3999999999999996E-2</v>
      </c>
      <c r="G79" s="191">
        <f t="shared" si="156"/>
        <v>7.3999999999999996E-2</v>
      </c>
      <c r="H79" s="191">
        <f t="shared" si="105"/>
        <v>1.1099999999999999</v>
      </c>
      <c r="I79" s="191">
        <f t="shared" si="174"/>
        <v>1.1839999999999999</v>
      </c>
      <c r="J79" s="472">
        <f t="shared" si="106"/>
        <v>15</v>
      </c>
      <c r="K79" s="386">
        <f t="shared" si="107"/>
        <v>15.32</v>
      </c>
      <c r="L79" s="386">
        <f t="shared" si="108"/>
        <v>30.32</v>
      </c>
      <c r="M79" s="386"/>
      <c r="N79" s="191">
        <f t="shared" si="109"/>
        <v>0.50527704485488123</v>
      </c>
      <c r="O79" s="152">
        <f t="shared" si="157"/>
        <v>1.237725019150566</v>
      </c>
      <c r="P79" s="152">
        <f t="shared" si="110"/>
        <v>2.7284960422163587</v>
      </c>
      <c r="Q79" s="191">
        <f t="shared" si="111"/>
        <v>8.25150012767044E-2</v>
      </c>
      <c r="R79" s="191">
        <f t="shared" si="112"/>
        <v>7.7357813696910374E-2</v>
      </c>
      <c r="S79" s="386">
        <f t="shared" si="113"/>
        <v>15</v>
      </c>
      <c r="T79" s="191">
        <f t="shared" si="114"/>
        <v>0.67260497050575374</v>
      </c>
      <c r="U79" s="191">
        <f t="shared" si="115"/>
        <v>2.1074955742513617</v>
      </c>
      <c r="V79" s="191">
        <f t="shared" si="116"/>
        <v>2.063474778966738</v>
      </c>
      <c r="W79" s="175">
        <f t="shared" si="117"/>
        <v>350</v>
      </c>
      <c r="X79" s="386">
        <f t="shared" si="158"/>
        <v>239.75236343467483</v>
      </c>
      <c r="Z79" s="191">
        <f t="shared" si="118"/>
        <v>0.46073894667618365</v>
      </c>
      <c r="AA79" s="153">
        <f t="shared" si="119"/>
        <v>1.4134941575574826</v>
      </c>
      <c r="AB79" s="153">
        <f t="shared" si="120"/>
        <v>0.11396906662504547</v>
      </c>
      <c r="AC79" s="153"/>
      <c r="AD79" s="153">
        <f t="shared" si="121"/>
        <v>0.46018276762402083</v>
      </c>
      <c r="AE79" s="317">
        <f t="shared" si="122"/>
        <v>2144.0756501182036</v>
      </c>
      <c r="AF79" s="463">
        <f t="shared" si="123"/>
        <v>1.2079797650130546E-2</v>
      </c>
      <c r="AH79" s="153">
        <f t="shared" si="124"/>
        <v>0.52811530471667623</v>
      </c>
      <c r="AI79" s="153">
        <f t="shared" si="125"/>
        <v>0.52811530471667623</v>
      </c>
      <c r="AJ79" s="153">
        <f t="shared" si="126"/>
        <v>1.4800854109012416</v>
      </c>
      <c r="AL79" s="317">
        <f t="shared" si="127"/>
        <v>74</v>
      </c>
      <c r="AM79" s="147">
        <f t="shared" si="128"/>
        <v>239.75236343467483</v>
      </c>
      <c r="AO79">
        <f t="shared" si="159"/>
        <v>74</v>
      </c>
      <c r="AP79">
        <f t="shared" si="129"/>
        <v>239.75236343467483</v>
      </c>
      <c r="AR79" s="5">
        <f t="shared" si="160"/>
        <v>4.1709703532180997</v>
      </c>
      <c r="AS79" s="5">
        <f t="shared" si="130"/>
        <v>1.6547612881122522</v>
      </c>
      <c r="AT79" s="5">
        <f t="shared" si="161"/>
        <v>2.5162090651058477</v>
      </c>
      <c r="AU79" s="153">
        <f t="shared" si="162"/>
        <v>0.39673292974511942</v>
      </c>
      <c r="AW79" s="5">
        <f t="shared" si="131"/>
        <v>0.96692791308641945</v>
      </c>
      <c r="AX79" s="5">
        <f t="shared" si="132"/>
        <v>8.1643458780918454</v>
      </c>
      <c r="AY79" s="5">
        <f t="shared" si="133"/>
        <v>0.96440494504700414</v>
      </c>
      <c r="AZ79" s="5">
        <f t="shared" si="134"/>
        <v>3.9887865302381034</v>
      </c>
      <c r="BA79" s="5">
        <f t="shared" si="135"/>
        <v>0.57009220694842611</v>
      </c>
      <c r="BB79" s="147">
        <f t="shared" si="136"/>
        <v>43.266693298909729</v>
      </c>
      <c r="BC79" s="5"/>
      <c r="BD79" s="153">
        <f t="shared" si="163"/>
        <v>0.19205129980357671</v>
      </c>
      <c r="BE79" s="153">
        <f t="shared" si="137"/>
        <v>0.23682248612780124</v>
      </c>
      <c r="BF79" s="153">
        <f t="shared" si="138"/>
        <v>0.23713205800509249</v>
      </c>
      <c r="BG79" s="153"/>
      <c r="BH79" s="463">
        <f t="shared" si="139"/>
        <v>1.2909295614685155E-2</v>
      </c>
      <c r="BI79" s="463">
        <f t="shared" si="140"/>
        <v>1.9195120898731946E-2</v>
      </c>
      <c r="BJ79" s="463">
        <f t="shared" si="141"/>
        <v>2.9969045429334351E-3</v>
      </c>
      <c r="BK79" s="463">
        <f t="shared" si="142"/>
        <v>1.102024615555844E-2</v>
      </c>
      <c r="BL79">
        <f t="shared" si="143"/>
        <v>4.3499999999999997E-3</v>
      </c>
      <c r="BM79">
        <f t="shared" si="144"/>
        <v>5.9938090858668704E-6</v>
      </c>
      <c r="BN79">
        <f t="shared" si="145"/>
        <v>5.2344989394784602E-2</v>
      </c>
      <c r="BO79" s="147">
        <f t="shared" si="164"/>
        <v>52.344989394784605</v>
      </c>
      <c r="BP79" s="153">
        <f t="shared" si="146"/>
        <v>7.1116855910915003E-2</v>
      </c>
      <c r="BQ79" s="153">
        <f t="shared" si="147"/>
        <v>7.1228952281370148E-2</v>
      </c>
      <c r="BR79" s="463"/>
      <c r="BT79" s="147">
        <f t="shared" si="165"/>
        <v>142.34580819228515</v>
      </c>
      <c r="BU79" s="463">
        <f t="shared" si="148"/>
        <v>3.6883701756243302E-2</v>
      </c>
      <c r="BV79" s="463">
        <f t="shared" si="149"/>
        <v>5.6084889935752613E-2</v>
      </c>
      <c r="BW79" s="463">
        <f t="shared" si="150"/>
        <v>2.8115806466865278E-3</v>
      </c>
      <c r="BX79" s="463">
        <f t="shared" si="151"/>
        <v>0</v>
      </c>
      <c r="BY79" s="463">
        <f t="shared" si="152"/>
        <v>0.10810211616463838</v>
      </c>
      <c r="BZ79" s="463">
        <f t="shared" si="166"/>
        <v>9.5780172338682454E-2</v>
      </c>
      <c r="CA79" s="549">
        <f t="shared" si="153"/>
        <v>3.3434159375023954E-2</v>
      </c>
      <c r="CB79" s="147">
        <f t="shared" si="167"/>
        <v>141.53627553966234</v>
      </c>
      <c r="CC79" s="153">
        <f t="shared" si="168"/>
        <v>0.33622707312673211</v>
      </c>
      <c r="CD79" s="5">
        <f t="shared" si="169"/>
        <v>2.2939999999999996</v>
      </c>
      <c r="CE79" s="153">
        <f t="shared" si="170"/>
        <v>0.8721680433746597</v>
      </c>
      <c r="CF79" s="5">
        <f t="shared" si="171"/>
        <v>87.216804337465973</v>
      </c>
      <c r="CG79">
        <f t="shared" si="172"/>
        <v>73.999999999999986</v>
      </c>
      <c r="CI79" s="59">
        <f t="shared" si="154"/>
        <v>-50</v>
      </c>
      <c r="CJ79">
        <f t="shared" si="155"/>
        <v>-50</v>
      </c>
    </row>
    <row r="80" spans="5:88" x14ac:dyDescent="0.25">
      <c r="E80" s="150">
        <v>75</v>
      </c>
      <c r="F80" s="191">
        <f t="shared" si="173"/>
        <v>7.5000000000000011E-2</v>
      </c>
      <c r="G80" s="191">
        <f t="shared" si="156"/>
        <v>7.5000000000000011E-2</v>
      </c>
      <c r="H80" s="191">
        <f t="shared" si="105"/>
        <v>1.1250000000000002</v>
      </c>
      <c r="I80" s="191">
        <f t="shared" si="174"/>
        <v>1.2000000000000002</v>
      </c>
      <c r="J80" s="472">
        <f t="shared" si="106"/>
        <v>15</v>
      </c>
      <c r="K80" s="386">
        <f t="shared" si="107"/>
        <v>15.32</v>
      </c>
      <c r="L80" s="386">
        <f t="shared" si="108"/>
        <v>30.32</v>
      </c>
      <c r="M80" s="386"/>
      <c r="N80" s="191">
        <f t="shared" si="109"/>
        <v>0.50527704485488123</v>
      </c>
      <c r="O80" s="152">
        <f t="shared" si="157"/>
        <v>1.237725019150566</v>
      </c>
      <c r="P80" s="152">
        <f t="shared" si="110"/>
        <v>2.7284960422163587</v>
      </c>
      <c r="Q80" s="191">
        <f t="shared" si="111"/>
        <v>8.25150012767044E-2</v>
      </c>
      <c r="R80" s="191">
        <f t="shared" si="112"/>
        <v>7.7357813696910374E-2</v>
      </c>
      <c r="S80" s="386">
        <f t="shared" si="113"/>
        <v>15</v>
      </c>
      <c r="T80" s="191">
        <f t="shared" si="114"/>
        <v>0.68169422686393977</v>
      </c>
      <c r="U80" s="191">
        <f t="shared" si="115"/>
        <v>2.1359752441736779</v>
      </c>
      <c r="V80" s="191">
        <f t="shared" si="116"/>
        <v>2.0913595732770993</v>
      </c>
      <c r="W80" s="175">
        <f t="shared" si="117"/>
        <v>350</v>
      </c>
      <c r="X80" s="386">
        <f t="shared" si="158"/>
        <v>236.55566525554582</v>
      </c>
      <c r="Z80" s="191">
        <f t="shared" si="118"/>
        <v>0.46073894667618365</v>
      </c>
      <c r="AA80" s="153">
        <f t="shared" si="119"/>
        <v>1.4134941575574826</v>
      </c>
      <c r="AB80" s="153">
        <f t="shared" si="120"/>
        <v>0.11396906662504547</v>
      </c>
      <c r="AC80" s="153"/>
      <c r="AD80" s="153">
        <f t="shared" si="121"/>
        <v>0.46018276762402083</v>
      </c>
      <c r="AE80" s="317">
        <f t="shared" si="122"/>
        <v>2173.0496453900719</v>
      </c>
      <c r="AF80" s="463">
        <f t="shared" si="123"/>
        <v>1.2079797650130546E-2</v>
      </c>
      <c r="AH80" s="153">
        <f t="shared" si="124"/>
        <v>0.53167167691769535</v>
      </c>
      <c r="AI80" s="153">
        <f t="shared" si="125"/>
        <v>0.53167167691769535</v>
      </c>
      <c r="AJ80" s="153">
        <f t="shared" si="126"/>
        <v>1.4827197606797742</v>
      </c>
      <c r="AL80" s="317">
        <f t="shared" si="127"/>
        <v>75.000000000000014</v>
      </c>
      <c r="AM80" s="147">
        <f t="shared" si="128"/>
        <v>236.55566525554582</v>
      </c>
      <c r="AO80">
        <f t="shared" si="159"/>
        <v>75.000000000000014</v>
      </c>
      <c r="AP80">
        <f t="shared" si="129"/>
        <v>236.55566525554582</v>
      </c>
      <c r="AR80" s="5">
        <f t="shared" si="160"/>
        <v>4.2273348174507772</v>
      </c>
      <c r="AS80" s="5">
        <f t="shared" si="130"/>
        <v>1.6659045876754452</v>
      </c>
      <c r="AT80" s="5">
        <f t="shared" si="161"/>
        <v>2.5614302297753317</v>
      </c>
      <c r="AU80" s="153">
        <f t="shared" si="162"/>
        <v>0.39407916798983073</v>
      </c>
      <c r="AW80" s="5">
        <f t="shared" si="131"/>
        <v>0.96692791308641945</v>
      </c>
      <c r="AX80" s="5">
        <f t="shared" si="132"/>
        <v>8.3834542666666643</v>
      </c>
      <c r="AY80" s="5">
        <f t="shared" si="133"/>
        <v>0.96440494504700414</v>
      </c>
      <c r="AZ80" s="5">
        <f t="shared" si="134"/>
        <v>4.0952929570104724</v>
      </c>
      <c r="BA80" s="5">
        <f t="shared" si="135"/>
        <v>0.58818027498544656</v>
      </c>
      <c r="BB80" s="147">
        <f t="shared" si="136"/>
        <v>44.630187290575158</v>
      </c>
      <c r="BC80" s="5"/>
      <c r="BD80" s="153">
        <f t="shared" si="163"/>
        <v>0.19269685949339257</v>
      </c>
      <c r="BE80" s="153">
        <f t="shared" si="137"/>
        <v>0.23894108971364009</v>
      </c>
      <c r="BF80" s="153">
        <f t="shared" si="138"/>
        <v>0.23925343100738339</v>
      </c>
      <c r="BG80" s="153"/>
      <c r="BH80" s="463">
        <f t="shared" si="139"/>
        <v>1.2996227880515696E-2</v>
      </c>
      <c r="BI80" s="463">
        <f t="shared" si="140"/>
        <v>1.9066724000188832E-2</v>
      </c>
      <c r="BJ80" s="463">
        <f t="shared" si="141"/>
        <v>2.9569458156943227E-3</v>
      </c>
      <c r="BK80" s="463">
        <f t="shared" si="142"/>
        <v>1.0873309540150995E-2</v>
      </c>
      <c r="BL80">
        <f t="shared" si="143"/>
        <v>4.3499999999999997E-3</v>
      </c>
      <c r="BM80">
        <f t="shared" si="144"/>
        <v>5.913891631388645E-6</v>
      </c>
      <c r="BN80">
        <f t="shared" si="145"/>
        <v>5.2128606074502044E-2</v>
      </c>
      <c r="BO80" s="147">
        <f t="shared" si="164"/>
        <v>52.128606074502045</v>
      </c>
      <c r="BP80" s="153">
        <f t="shared" si="146"/>
        <v>7.2268933086105949E-2</v>
      </c>
      <c r="BQ80" s="153">
        <f t="shared" si="147"/>
        <v>7.2383044046086836E-2</v>
      </c>
      <c r="BR80" s="463"/>
      <c r="BT80" s="147">
        <f t="shared" si="165"/>
        <v>144.6519771321928</v>
      </c>
      <c r="BU80" s="463">
        <f t="shared" si="148"/>
        <v>3.7132079658616278E-2</v>
      </c>
      <c r="BV80" s="463">
        <f t="shared" si="149"/>
        <v>5.7092844353541804E-2</v>
      </c>
      <c r="BW80" s="463">
        <f t="shared" si="150"/>
        <v>2.8621102124402383E-3</v>
      </c>
      <c r="BX80" s="463">
        <f t="shared" si="151"/>
        <v>0</v>
      </c>
      <c r="BY80" s="463">
        <f t="shared" si="152"/>
        <v>0.10958864928706699</v>
      </c>
      <c r="BZ80" s="463">
        <f t="shared" si="166"/>
        <v>9.7087034224598315E-2</v>
      </c>
      <c r="CA80" s="549">
        <f t="shared" si="153"/>
        <v>3.3434159375023968E-2</v>
      </c>
      <c r="CB80" s="147">
        <f t="shared" si="167"/>
        <v>143.02280866209097</v>
      </c>
      <c r="CC80" s="153">
        <f t="shared" si="168"/>
        <v>0.33980339186878578</v>
      </c>
      <c r="CD80" s="5">
        <f t="shared" si="169"/>
        <v>2.3250000000000002</v>
      </c>
      <c r="CE80" s="153">
        <f t="shared" si="170"/>
        <v>0.87248462948312044</v>
      </c>
      <c r="CF80" s="5">
        <f t="shared" si="171"/>
        <v>87.248462948312039</v>
      </c>
      <c r="CG80">
        <f t="shared" si="172"/>
        <v>75.000000000000014</v>
      </c>
      <c r="CI80" s="59">
        <f t="shared" si="154"/>
        <v>-50</v>
      </c>
      <c r="CJ80">
        <f t="shared" si="155"/>
        <v>-50</v>
      </c>
    </row>
    <row r="81" spans="5:88" x14ac:dyDescent="0.25">
      <c r="E81" s="150">
        <v>76</v>
      </c>
      <c r="F81" s="191">
        <f t="shared" si="173"/>
        <v>7.6000000000000012E-2</v>
      </c>
      <c r="G81" s="191">
        <f t="shared" si="156"/>
        <v>7.6000000000000012E-2</v>
      </c>
      <c r="H81" s="191">
        <f t="shared" si="105"/>
        <v>1.1400000000000001</v>
      </c>
      <c r="I81" s="191">
        <f t="shared" si="174"/>
        <v>1.2160000000000002</v>
      </c>
      <c r="J81" s="472">
        <f t="shared" si="106"/>
        <v>15</v>
      </c>
      <c r="K81" s="386">
        <f t="shared" si="107"/>
        <v>15.32</v>
      </c>
      <c r="L81" s="386">
        <f t="shared" si="108"/>
        <v>30.32</v>
      </c>
      <c r="M81" s="386"/>
      <c r="N81" s="191">
        <f t="shared" si="109"/>
        <v>0.50527704485488123</v>
      </c>
      <c r="O81" s="152">
        <f t="shared" si="157"/>
        <v>1.237725019150566</v>
      </c>
      <c r="P81" s="152">
        <f t="shared" si="110"/>
        <v>2.7284960422163587</v>
      </c>
      <c r="Q81" s="191">
        <f t="shared" si="111"/>
        <v>8.25150012767044E-2</v>
      </c>
      <c r="R81" s="191">
        <f t="shared" si="112"/>
        <v>7.7357813696910374E-2</v>
      </c>
      <c r="S81" s="386">
        <f t="shared" si="113"/>
        <v>15</v>
      </c>
      <c r="T81" s="191">
        <f t="shared" si="114"/>
        <v>0.69078348322212568</v>
      </c>
      <c r="U81" s="191">
        <f t="shared" si="115"/>
        <v>2.1644549140959937</v>
      </c>
      <c r="V81" s="191">
        <f t="shared" si="116"/>
        <v>2.1192443675874615</v>
      </c>
      <c r="W81" s="175">
        <f t="shared" si="117"/>
        <v>350</v>
      </c>
      <c r="X81" s="386">
        <f t="shared" si="158"/>
        <v>233.44309071270965</v>
      </c>
      <c r="Z81" s="191">
        <f t="shared" si="118"/>
        <v>0.46073894667618365</v>
      </c>
      <c r="AA81" s="153">
        <f t="shared" si="119"/>
        <v>1.4134941575574826</v>
      </c>
      <c r="AB81" s="153">
        <f t="shared" si="120"/>
        <v>0.11396906662504547</v>
      </c>
      <c r="AC81" s="153"/>
      <c r="AD81" s="153">
        <f t="shared" si="121"/>
        <v>0.46018276762402083</v>
      </c>
      <c r="AE81" s="317">
        <f t="shared" si="122"/>
        <v>2202.0236406619397</v>
      </c>
      <c r="AF81" s="463">
        <f t="shared" si="123"/>
        <v>1.2079797650130546E-2</v>
      </c>
      <c r="AH81" s="153">
        <f t="shared" si="124"/>
        <v>0.53520441795351481</v>
      </c>
      <c r="AI81" s="153">
        <f t="shared" si="125"/>
        <v>0.53520441795351481</v>
      </c>
      <c r="AJ81" s="153">
        <f t="shared" si="126"/>
        <v>1.4853366058914923</v>
      </c>
      <c r="AL81" s="317">
        <f t="shared" si="127"/>
        <v>76.000000000000014</v>
      </c>
      <c r="AM81" s="147">
        <f t="shared" si="128"/>
        <v>233.44309071270965</v>
      </c>
      <c r="AO81">
        <f t="shared" si="159"/>
        <v>76.000000000000014</v>
      </c>
      <c r="AP81">
        <f t="shared" si="129"/>
        <v>233.44309071270965</v>
      </c>
      <c r="AR81" s="5">
        <f t="shared" si="160"/>
        <v>4.2836992816834556</v>
      </c>
      <c r="AS81" s="5">
        <f t="shared" si="130"/>
        <v>1.676973842921013</v>
      </c>
      <c r="AT81" s="5">
        <f t="shared" si="161"/>
        <v>2.6067254387624423</v>
      </c>
      <c r="AU81" s="153">
        <f t="shared" si="162"/>
        <v>0.3914779569358513</v>
      </c>
      <c r="AW81" s="5">
        <f t="shared" si="131"/>
        <v>0.96692791308641945</v>
      </c>
      <c r="AX81" s="5">
        <f t="shared" si="132"/>
        <v>8.6054634389807383</v>
      </c>
      <c r="AY81" s="5">
        <f t="shared" si="133"/>
        <v>0.96440494504700414</v>
      </c>
      <c r="AZ81" s="5">
        <f t="shared" si="134"/>
        <v>4.2032021546119971</v>
      </c>
      <c r="BA81" s="5">
        <f t="shared" si="135"/>
        <v>0.60656248234314225</v>
      </c>
      <c r="BB81" s="147">
        <f t="shared" si="136"/>
        <v>46.015741731291222</v>
      </c>
      <c r="BC81" s="5"/>
      <c r="BD81" s="153">
        <f t="shared" si="163"/>
        <v>0.19333599549655781</v>
      </c>
      <c r="BE81" s="153">
        <f t="shared" si="137"/>
        <v>0.24104449626090857</v>
      </c>
      <c r="BF81" s="153">
        <f t="shared" si="138"/>
        <v>0.24135958710569405</v>
      </c>
      <c r="BG81" s="153"/>
      <c r="BH81" s="463">
        <f t="shared" si="139"/>
        <v>1.3082582504125756E-2</v>
      </c>
      <c r="BI81" s="463">
        <f t="shared" si="140"/>
        <v>1.8940869661109062E-2</v>
      </c>
      <c r="BJ81" s="463">
        <f t="shared" si="141"/>
        <v>2.9180386339088702E-3</v>
      </c>
      <c r="BK81" s="463">
        <f t="shared" si="142"/>
        <v>1.0730239677780584E-2</v>
      </c>
      <c r="BL81">
        <f t="shared" si="143"/>
        <v>4.3499999999999997E-3</v>
      </c>
      <c r="BM81">
        <f t="shared" si="144"/>
        <v>5.8360772678177406E-6</v>
      </c>
      <c r="BN81">
        <f t="shared" si="145"/>
        <v>5.1919034058347295E-2</v>
      </c>
      <c r="BO81" s="147">
        <f t="shared" si="164"/>
        <v>51.919034058347293</v>
      </c>
      <c r="BP81" s="153">
        <f t="shared" si="146"/>
        <v>7.3422271171743839E-2</v>
      </c>
      <c r="BQ81" s="153">
        <f t="shared" si="147"/>
        <v>7.3538400019902986E-2</v>
      </c>
      <c r="BR81" s="463"/>
      <c r="BT81" s="147">
        <f t="shared" si="165"/>
        <v>146.96067119164684</v>
      </c>
      <c r="BU81" s="463">
        <f t="shared" si="148"/>
        <v>3.7378807154645019E-2</v>
      </c>
      <c r="BV81" s="463">
        <f t="shared" si="149"/>
        <v>5.8102449177675167E-2</v>
      </c>
      <c r="BW81" s="463">
        <f t="shared" si="150"/>
        <v>2.9127225143915558E-3</v>
      </c>
      <c r="BX81" s="463">
        <f t="shared" si="151"/>
        <v>0</v>
      </c>
      <c r="BY81" s="463">
        <f t="shared" si="152"/>
        <v>0.1110755898473432</v>
      </c>
      <c r="BZ81" s="463">
        <f t="shared" si="166"/>
        <v>9.8393978846711735E-2</v>
      </c>
      <c r="CA81" s="549">
        <f t="shared" si="153"/>
        <v>3.3434159375023961E-2</v>
      </c>
      <c r="CB81" s="147">
        <f t="shared" si="167"/>
        <v>144.50974922236713</v>
      </c>
      <c r="CC81" s="153">
        <f t="shared" si="168"/>
        <v>0.3433894544723613</v>
      </c>
      <c r="CD81" s="5">
        <f t="shared" si="169"/>
        <v>2.3560000000000003</v>
      </c>
      <c r="CE81" s="153">
        <f t="shared" si="170"/>
        <v>0.87278995481610411</v>
      </c>
      <c r="CF81" s="5">
        <f t="shared" si="171"/>
        <v>87.278995481610409</v>
      </c>
      <c r="CG81">
        <f t="shared" si="172"/>
        <v>76.000000000000014</v>
      </c>
      <c r="CI81" s="59">
        <f t="shared" si="154"/>
        <v>-50</v>
      </c>
      <c r="CJ81">
        <f t="shared" si="155"/>
        <v>-50</v>
      </c>
    </row>
    <row r="82" spans="5:88" x14ac:dyDescent="0.25">
      <c r="E82" s="150">
        <v>77</v>
      </c>
      <c r="F82" s="191">
        <f t="shared" si="173"/>
        <v>7.7000000000000013E-2</v>
      </c>
      <c r="G82" s="191">
        <f t="shared" si="156"/>
        <v>7.7000000000000013E-2</v>
      </c>
      <c r="H82" s="191">
        <f t="shared" si="105"/>
        <v>1.1550000000000002</v>
      </c>
      <c r="I82" s="191">
        <f t="shared" si="174"/>
        <v>1.2320000000000002</v>
      </c>
      <c r="J82" s="472">
        <f t="shared" si="106"/>
        <v>15</v>
      </c>
      <c r="K82" s="386">
        <f t="shared" si="107"/>
        <v>15.32</v>
      </c>
      <c r="L82" s="386">
        <f t="shared" si="108"/>
        <v>30.32</v>
      </c>
      <c r="M82" s="386"/>
      <c r="N82" s="191">
        <f t="shared" si="109"/>
        <v>0.50527704485488123</v>
      </c>
      <c r="O82" s="152">
        <f t="shared" si="157"/>
        <v>1.237725019150566</v>
      </c>
      <c r="P82" s="152">
        <f t="shared" si="110"/>
        <v>2.7284960422163587</v>
      </c>
      <c r="Q82" s="191">
        <f t="shared" si="111"/>
        <v>8.25150012767044E-2</v>
      </c>
      <c r="R82" s="191">
        <f t="shared" si="112"/>
        <v>7.7357813696910374E-2</v>
      </c>
      <c r="S82" s="386">
        <f t="shared" si="113"/>
        <v>15</v>
      </c>
      <c r="T82" s="191">
        <f t="shared" si="114"/>
        <v>0.6998727395803116</v>
      </c>
      <c r="U82" s="191">
        <f t="shared" si="115"/>
        <v>2.1929345840183099</v>
      </c>
      <c r="V82" s="191">
        <f t="shared" si="116"/>
        <v>2.1471291618978228</v>
      </c>
      <c r="W82" s="175">
        <f t="shared" si="117"/>
        <v>350</v>
      </c>
      <c r="X82" s="386">
        <f t="shared" si="158"/>
        <v>230.41136226189519</v>
      </c>
      <c r="Z82" s="191">
        <f t="shared" si="118"/>
        <v>0.46073894667618365</v>
      </c>
      <c r="AA82" s="153">
        <f t="shared" si="119"/>
        <v>1.4134941575574826</v>
      </c>
      <c r="AB82" s="153">
        <f t="shared" si="120"/>
        <v>0.11396906662504547</v>
      </c>
      <c r="AC82" s="153"/>
      <c r="AD82" s="153">
        <f t="shared" si="121"/>
        <v>0.46018276762402083</v>
      </c>
      <c r="AE82" s="317">
        <f t="shared" si="122"/>
        <v>2230.997635933807</v>
      </c>
      <c r="AF82" s="463">
        <f t="shared" si="123"/>
        <v>1.2079797650130546E-2</v>
      </c>
      <c r="AH82" s="153">
        <f t="shared" si="124"/>
        <v>0.53871399272475451</v>
      </c>
      <c r="AI82" s="153">
        <f t="shared" si="125"/>
        <v>0.53871399272475451</v>
      </c>
      <c r="AJ82" s="153">
        <f t="shared" si="126"/>
        <v>1.4879362909072256</v>
      </c>
      <c r="AL82" s="317">
        <f t="shared" si="127"/>
        <v>77.000000000000014</v>
      </c>
      <c r="AM82" s="147">
        <f t="shared" si="128"/>
        <v>230.41136226189519</v>
      </c>
      <c r="AO82">
        <f t="shared" si="159"/>
        <v>77.000000000000014</v>
      </c>
      <c r="AP82">
        <f t="shared" si="129"/>
        <v>230.41136226189519</v>
      </c>
      <c r="AR82" s="5">
        <f t="shared" si="160"/>
        <v>4.3400637459161331</v>
      </c>
      <c r="AS82" s="5">
        <f t="shared" si="130"/>
        <v>1.6879705105375642</v>
      </c>
      <c r="AT82" s="5">
        <f t="shared" si="161"/>
        <v>2.6520932353785689</v>
      </c>
      <c r="AU82" s="153">
        <f t="shared" si="162"/>
        <v>0.38892758479086686</v>
      </c>
      <c r="AW82" s="5">
        <f t="shared" si="131"/>
        <v>0.96692791308641945</v>
      </c>
      <c r="AX82" s="5">
        <f t="shared" si="132"/>
        <v>8.8303733950340728</v>
      </c>
      <c r="AY82" s="5">
        <f t="shared" si="133"/>
        <v>0.96440494504700414</v>
      </c>
      <c r="AZ82" s="5">
        <f t="shared" si="134"/>
        <v>4.312514123042682</v>
      </c>
      <c r="BA82" s="5">
        <f t="shared" si="135"/>
        <v>0.6252391657134464</v>
      </c>
      <c r="BB82" s="147">
        <f t="shared" si="136"/>
        <v>47.42338187295293</v>
      </c>
      <c r="BC82" s="5"/>
      <c r="BD82" s="153">
        <f t="shared" si="163"/>
        <v>0.19396885500796851</v>
      </c>
      <c r="BE82" s="153">
        <f t="shared" si="137"/>
        <v>0.24313303341870265</v>
      </c>
      <c r="BF82" s="153">
        <f t="shared" si="138"/>
        <v>0.2434508543774199</v>
      </c>
      <c r="BG82" s="153"/>
      <c r="BH82" s="463">
        <f t="shared" si="139"/>
        <v>1.3168370849585808E-2</v>
      </c>
      <c r="BI82" s="463">
        <f t="shared" si="140"/>
        <v>1.8817475059881517E-2</v>
      </c>
      <c r="BJ82" s="463">
        <f t="shared" si="141"/>
        <v>2.8801420282736898E-3</v>
      </c>
      <c r="BK82" s="463">
        <f t="shared" si="142"/>
        <v>1.0590885915731485E-2</v>
      </c>
      <c r="BL82">
        <f t="shared" si="143"/>
        <v>4.3499999999999997E-3</v>
      </c>
      <c r="BM82">
        <f t="shared" si="144"/>
        <v>5.7602840565473793E-6</v>
      </c>
      <c r="BN82">
        <f t="shared" si="145"/>
        <v>5.1716011584002367E-2</v>
      </c>
      <c r="BO82" s="147">
        <f t="shared" si="164"/>
        <v>51.716011584002366</v>
      </c>
      <c r="BP82" s="153">
        <f t="shared" si="146"/>
        <v>7.4576845361686322E-2</v>
      </c>
      <c r="BQ82" s="153">
        <f t="shared" si="147"/>
        <v>7.469499533178113E-2</v>
      </c>
      <c r="BR82" s="463"/>
      <c r="BT82" s="147">
        <f t="shared" si="165"/>
        <v>149.27184069346742</v>
      </c>
      <c r="BU82" s="463">
        <f t="shared" si="148"/>
        <v>3.7623916713102314E-2</v>
      </c>
      <c r="BV82" s="463">
        <f t="shared" si="149"/>
        <v>5.9113671939379983E-2</v>
      </c>
      <c r="BW82" s="463">
        <f t="shared" si="150"/>
        <v>2.9634159248547853E-3</v>
      </c>
      <c r="BX82" s="463">
        <f t="shared" si="151"/>
        <v>0</v>
      </c>
      <c r="BY82" s="463">
        <f t="shared" si="152"/>
        <v>0.11256293615161683</v>
      </c>
      <c r="BZ82" s="463">
        <f t="shared" si="166"/>
        <v>9.9701004577337091E-2</v>
      </c>
      <c r="CA82" s="549">
        <f t="shared" si="153"/>
        <v>3.3434159375023954E-2</v>
      </c>
      <c r="CB82" s="147">
        <f t="shared" si="167"/>
        <v>145.99709552664078</v>
      </c>
      <c r="CC82" s="153">
        <f t="shared" si="168"/>
        <v>0.34698494780411065</v>
      </c>
      <c r="CD82" s="5">
        <f t="shared" si="169"/>
        <v>2.3870000000000005</v>
      </c>
      <c r="CE82" s="153">
        <f t="shared" si="170"/>
        <v>0.87308454346729192</v>
      </c>
      <c r="CF82" s="5">
        <f t="shared" si="171"/>
        <v>87.308454346729192</v>
      </c>
      <c r="CG82">
        <f t="shared" si="172"/>
        <v>77.000000000000014</v>
      </c>
      <c r="CI82" s="59">
        <f t="shared" si="154"/>
        <v>-50</v>
      </c>
      <c r="CJ82">
        <f t="shared" si="155"/>
        <v>-50</v>
      </c>
    </row>
    <row r="83" spans="5:88" x14ac:dyDescent="0.25">
      <c r="E83" s="150">
        <v>78</v>
      </c>
      <c r="F83" s="191">
        <f t="shared" si="173"/>
        <v>7.8000000000000014E-2</v>
      </c>
      <c r="G83" s="191">
        <f t="shared" si="156"/>
        <v>7.8000000000000014E-2</v>
      </c>
      <c r="H83" s="191">
        <f t="shared" si="105"/>
        <v>1.1700000000000002</v>
      </c>
      <c r="I83" s="191">
        <f t="shared" si="174"/>
        <v>1.2480000000000002</v>
      </c>
      <c r="J83" s="472">
        <f t="shared" si="106"/>
        <v>15</v>
      </c>
      <c r="K83" s="386">
        <f t="shared" si="107"/>
        <v>15.32</v>
      </c>
      <c r="L83" s="386">
        <f t="shared" si="108"/>
        <v>30.32</v>
      </c>
      <c r="M83" s="386"/>
      <c r="N83" s="191">
        <f t="shared" si="109"/>
        <v>0.50527704485488123</v>
      </c>
      <c r="O83" s="152">
        <f t="shared" si="157"/>
        <v>1.237725019150566</v>
      </c>
      <c r="P83" s="152">
        <f t="shared" si="110"/>
        <v>2.7284960422163587</v>
      </c>
      <c r="Q83" s="191">
        <f t="shared" si="111"/>
        <v>8.25150012767044E-2</v>
      </c>
      <c r="R83" s="191">
        <f t="shared" si="112"/>
        <v>7.7357813696910374E-2</v>
      </c>
      <c r="S83" s="386">
        <f t="shared" si="113"/>
        <v>15</v>
      </c>
      <c r="T83" s="191">
        <f t="shared" si="114"/>
        <v>0.7089619959384974</v>
      </c>
      <c r="U83" s="191">
        <f t="shared" si="115"/>
        <v>2.2214142539406248</v>
      </c>
      <c r="V83" s="191">
        <f t="shared" si="116"/>
        <v>2.1750139562081841</v>
      </c>
      <c r="W83" s="175">
        <f t="shared" si="117"/>
        <v>350</v>
      </c>
      <c r="X83" s="386">
        <f t="shared" si="158"/>
        <v>227.45737043802481</v>
      </c>
      <c r="Z83" s="191">
        <f t="shared" si="118"/>
        <v>0.46073894667618365</v>
      </c>
      <c r="AA83" s="153">
        <f t="shared" si="119"/>
        <v>1.4134941575574826</v>
      </c>
      <c r="AB83" s="153">
        <f t="shared" si="120"/>
        <v>0.11396906662504547</v>
      </c>
      <c r="AC83" s="153"/>
      <c r="AD83" s="153">
        <f t="shared" si="121"/>
        <v>0.46018276762402083</v>
      </c>
      <c r="AE83" s="317">
        <f t="shared" si="122"/>
        <v>2259.9716312056748</v>
      </c>
      <c r="AF83" s="463">
        <f t="shared" si="123"/>
        <v>1.2079797650130546E-2</v>
      </c>
      <c r="AH83" s="153">
        <f t="shared" si="124"/>
        <v>0.54220085108558536</v>
      </c>
      <c r="AI83" s="153">
        <f t="shared" si="125"/>
        <v>0.54220085108558536</v>
      </c>
      <c r="AJ83" s="153">
        <f t="shared" si="126"/>
        <v>1.4905191489522853</v>
      </c>
      <c r="AL83" s="317">
        <f t="shared" si="127"/>
        <v>78.000000000000014</v>
      </c>
      <c r="AM83" s="147">
        <f t="shared" si="128"/>
        <v>227.45737043802481</v>
      </c>
      <c r="AO83">
        <f t="shared" si="159"/>
        <v>78.000000000000014</v>
      </c>
      <c r="AP83">
        <f t="shared" si="129"/>
        <v>227.45737043802481</v>
      </c>
      <c r="AR83" s="5">
        <f t="shared" si="160"/>
        <v>4.3964282101488088</v>
      </c>
      <c r="AS83" s="5">
        <f t="shared" si="130"/>
        <v>1.6988960000681674</v>
      </c>
      <c r="AT83" s="5">
        <f t="shared" si="161"/>
        <v>2.6975322100806416</v>
      </c>
      <c r="AU83" s="153">
        <f t="shared" si="162"/>
        <v>0.38642641682318379</v>
      </c>
      <c r="AW83" s="5">
        <f t="shared" si="131"/>
        <v>0.96692791308641945</v>
      </c>
      <c r="AX83" s="5">
        <f t="shared" si="132"/>
        <v>9.0581841348266643</v>
      </c>
      <c r="AY83" s="5">
        <f t="shared" si="133"/>
        <v>0.96440494504700414</v>
      </c>
      <c r="AZ83" s="5">
        <f t="shared" si="134"/>
        <v>4.4232288623025253</v>
      </c>
      <c r="BA83" s="5">
        <f t="shared" si="135"/>
        <v>0.64421065520740661</v>
      </c>
      <c r="BB83" s="147">
        <f t="shared" si="136"/>
        <v>48.853132473888827</v>
      </c>
      <c r="BC83" s="5"/>
      <c r="BD83" s="153">
        <f t="shared" si="163"/>
        <v>0.19459557999069044</v>
      </c>
      <c r="BE83" s="153">
        <f t="shared" si="137"/>
        <v>0.24520701707074202</v>
      </c>
      <c r="BF83" s="153">
        <f t="shared" si="138"/>
        <v>0.24552754911920047</v>
      </c>
      <c r="BG83" s="153"/>
      <c r="BH83" s="463">
        <f t="shared" si="139"/>
        <v>1.3253603913169619E-2</v>
      </c>
      <c r="BI83" s="463">
        <f t="shared" si="140"/>
        <v>1.8696461103317446E-2</v>
      </c>
      <c r="BJ83" s="463">
        <f t="shared" si="141"/>
        <v>2.8432171304753097E-3</v>
      </c>
      <c r="BK83" s="463">
        <f t="shared" si="142"/>
        <v>1.0455105327068264E-2</v>
      </c>
      <c r="BL83">
        <f t="shared" si="143"/>
        <v>4.3499999999999997E-3</v>
      </c>
      <c r="BM83">
        <f t="shared" si="144"/>
        <v>5.6864342609506196E-6</v>
      </c>
      <c r="BN83">
        <f t="shared" si="145"/>
        <v>5.1519290037285219E-2</v>
      </c>
      <c r="BO83" s="147">
        <f t="shared" si="164"/>
        <v>51.519290037285216</v>
      </c>
      <c r="BP83" s="153">
        <f t="shared" si="146"/>
        <v>7.5732631652638618E-2</v>
      </c>
      <c r="BQ83" s="153">
        <f t="shared" si="147"/>
        <v>7.5852805915631802E-2</v>
      </c>
      <c r="BR83" s="463"/>
      <c r="BT83" s="147">
        <f t="shared" si="165"/>
        <v>151.58543756827041</v>
      </c>
      <c r="BU83" s="463">
        <f t="shared" si="148"/>
        <v>3.7867439751913201E-2</v>
      </c>
      <c r="BV83" s="463">
        <f t="shared" si="149"/>
        <v>6.0126481220731172E-2</v>
      </c>
      <c r="BW83" s="463">
        <f t="shared" si="150"/>
        <v>3.0141888688240701E-3</v>
      </c>
      <c r="BX83" s="463">
        <f t="shared" si="151"/>
        <v>0</v>
      </c>
      <c r="BY83" s="463">
        <f t="shared" si="152"/>
        <v>0.11405068656452502</v>
      </c>
      <c r="BZ83" s="463">
        <f t="shared" si="166"/>
        <v>0.10100810984146844</v>
      </c>
      <c r="CA83" s="549">
        <f t="shared" si="153"/>
        <v>3.3434159375023954E-2</v>
      </c>
      <c r="CB83" s="147">
        <f t="shared" si="167"/>
        <v>147.48484593954896</v>
      </c>
      <c r="CC83" s="153">
        <f t="shared" si="168"/>
        <v>0.35058957354510462</v>
      </c>
      <c r="CD83" s="5">
        <f t="shared" si="169"/>
        <v>2.4180000000000001</v>
      </c>
      <c r="CE83" s="153">
        <f t="shared" si="170"/>
        <v>0.87336888902020104</v>
      </c>
      <c r="CF83" s="5">
        <f t="shared" si="171"/>
        <v>87.336888902020107</v>
      </c>
      <c r="CG83">
        <f t="shared" si="172"/>
        <v>78.000000000000014</v>
      </c>
      <c r="CI83" s="59">
        <f t="shared" si="154"/>
        <v>-50</v>
      </c>
      <c r="CJ83">
        <f t="shared" si="155"/>
        <v>-50</v>
      </c>
    </row>
    <row r="84" spans="5:88" x14ac:dyDescent="0.25">
      <c r="E84" s="150">
        <v>79</v>
      </c>
      <c r="F84" s="191">
        <f t="shared" si="173"/>
        <v>7.9000000000000015E-2</v>
      </c>
      <c r="G84" s="191">
        <f t="shared" si="156"/>
        <v>7.9000000000000015E-2</v>
      </c>
      <c r="H84" s="191">
        <f t="shared" si="105"/>
        <v>1.1850000000000003</v>
      </c>
      <c r="I84" s="191">
        <f t="shared" si="174"/>
        <v>1.2640000000000002</v>
      </c>
      <c r="J84" s="472">
        <f t="shared" si="106"/>
        <v>15</v>
      </c>
      <c r="K84" s="386">
        <f t="shared" si="107"/>
        <v>15.32</v>
      </c>
      <c r="L84" s="386">
        <f t="shared" si="108"/>
        <v>30.32</v>
      </c>
      <c r="M84" s="386"/>
      <c r="N84" s="191">
        <f t="shared" si="109"/>
        <v>0.50527704485488123</v>
      </c>
      <c r="O84" s="152">
        <f t="shared" si="157"/>
        <v>1.237725019150566</v>
      </c>
      <c r="P84" s="152">
        <f t="shared" si="110"/>
        <v>2.7284960422163587</v>
      </c>
      <c r="Q84" s="191">
        <f t="shared" si="111"/>
        <v>8.25150012767044E-2</v>
      </c>
      <c r="R84" s="191">
        <f t="shared" si="112"/>
        <v>7.7357813696910374E-2</v>
      </c>
      <c r="S84" s="386">
        <f t="shared" si="113"/>
        <v>15</v>
      </c>
      <c r="T84" s="191">
        <f t="shared" si="114"/>
        <v>0.71805125229668343</v>
      </c>
      <c r="U84" s="191">
        <f t="shared" si="115"/>
        <v>2.2498939238629414</v>
      </c>
      <c r="V84" s="191">
        <f t="shared" si="116"/>
        <v>2.2028987505185453</v>
      </c>
      <c r="W84" s="175">
        <f t="shared" si="117"/>
        <v>350</v>
      </c>
      <c r="X84" s="386">
        <f t="shared" si="158"/>
        <v>224.5781632172903</v>
      </c>
      <c r="Z84" s="191">
        <f t="shared" si="118"/>
        <v>0.46073894667618365</v>
      </c>
      <c r="AA84" s="153">
        <f t="shared" si="119"/>
        <v>1.4134941575574826</v>
      </c>
      <c r="AB84" s="153">
        <f t="shared" si="120"/>
        <v>0.11396906662504547</v>
      </c>
      <c r="AC84" s="153"/>
      <c r="AD84" s="153">
        <f t="shared" si="121"/>
        <v>0.46018276762402083</v>
      </c>
      <c r="AE84" s="317">
        <f t="shared" si="122"/>
        <v>2288.9456264775422</v>
      </c>
      <c r="AF84" s="463">
        <f t="shared" si="123"/>
        <v>1.2079797650130546E-2</v>
      </c>
      <c r="AH84" s="153">
        <f t="shared" si="124"/>
        <v>0.54566542851679689</v>
      </c>
      <c r="AI84" s="153">
        <f t="shared" si="125"/>
        <v>0.54566542851679689</v>
      </c>
      <c r="AJ84" s="153">
        <f t="shared" si="126"/>
        <v>1.4930855026050347</v>
      </c>
      <c r="AL84" s="317">
        <f t="shared" si="127"/>
        <v>79.000000000000014</v>
      </c>
      <c r="AM84" s="147">
        <f t="shared" si="128"/>
        <v>224.5781632172903</v>
      </c>
      <c r="AO84">
        <f t="shared" si="159"/>
        <v>79.000000000000014</v>
      </c>
      <c r="AP84">
        <f t="shared" si="129"/>
        <v>224.5781632172903</v>
      </c>
      <c r="AR84" s="5">
        <f t="shared" si="160"/>
        <v>4.4527926743814863</v>
      </c>
      <c r="AS84" s="5">
        <f t="shared" si="130"/>
        <v>1.7097516760192968</v>
      </c>
      <c r="AT84" s="5">
        <f t="shared" si="161"/>
        <v>2.7430409983621895</v>
      </c>
      <c r="AU84" s="153">
        <f t="shared" si="162"/>
        <v>0.38397289095809728</v>
      </c>
      <c r="AW84" s="5">
        <f t="shared" si="131"/>
        <v>0.96692791308641945</v>
      </c>
      <c r="AX84" s="5">
        <f t="shared" si="132"/>
        <v>9.288895658358518</v>
      </c>
      <c r="AY84" s="5">
        <f t="shared" si="133"/>
        <v>0.96440494504700414</v>
      </c>
      <c r="AZ84" s="5">
        <f t="shared" si="134"/>
        <v>4.5353463723915306</v>
      </c>
      <c r="BA84" s="5">
        <f t="shared" si="135"/>
        <v>0.66347727456681527</v>
      </c>
      <c r="BB84" s="147">
        <f t="shared" si="136"/>
        <v>50.305017814733361</v>
      </c>
      <c r="BC84" s="5"/>
      <c r="BD84" s="153">
        <f t="shared" si="163"/>
        <v>0.19521630742630683</v>
      </c>
      <c r="BE84" s="153">
        <f t="shared" si="137"/>
        <v>0.24726675192521172</v>
      </c>
      <c r="BF84" s="153">
        <f t="shared" si="138"/>
        <v>0.24758997643753222</v>
      </c>
      <c r="BG84" s="153"/>
      <c r="BH84" s="463">
        <f t="shared" si="139"/>
        <v>1.333829233980682E-2</v>
      </c>
      <c r="BI84" s="463">
        <f t="shared" si="140"/>
        <v>1.8577752213589642E-2</v>
      </c>
      <c r="BJ84" s="463">
        <f t="shared" si="141"/>
        <v>2.8072270402161289E-3</v>
      </c>
      <c r="BK84" s="463">
        <f t="shared" si="142"/>
        <v>1.0322762221662334E-2</v>
      </c>
      <c r="BL84">
        <f t="shared" si="143"/>
        <v>4.3499999999999997E-3</v>
      </c>
      <c r="BM84">
        <f t="shared" si="144"/>
        <v>5.6144540804322575E-6</v>
      </c>
      <c r="BN84">
        <f t="shared" si="145"/>
        <v>5.1328633135191773E-2</v>
      </c>
      <c r="BO84" s="147">
        <f t="shared" si="164"/>
        <v>51.328633135191772</v>
      </c>
      <c r="BP84" s="153">
        <f t="shared" si="146"/>
        <v>7.6889606808240182E-2</v>
      </c>
      <c r="BQ84" s="153">
        <f t="shared" si="147"/>
        <v>7.7011808474306054E-2</v>
      </c>
      <c r="BR84" s="463"/>
      <c r="BT84" s="147">
        <f t="shared" si="165"/>
        <v>153.90141528254625</v>
      </c>
      <c r="BU84" s="463">
        <f t="shared" si="148"/>
        <v>3.8109406685162342E-2</v>
      </c>
      <c r="BV84" s="463">
        <f t="shared" si="149"/>
        <v>6.1140846607644191E-2</v>
      </c>
      <c r="BW84" s="463">
        <f t="shared" si="150"/>
        <v>3.0650398216168881E-3</v>
      </c>
      <c r="BX84" s="463">
        <f t="shared" si="151"/>
        <v>0</v>
      </c>
      <c r="BY84" s="463">
        <f t="shared" si="152"/>
        <v>0.11553883950657147</v>
      </c>
      <c r="BZ84" s="463">
        <f t="shared" si="166"/>
        <v>0.10231529311442343</v>
      </c>
      <c r="CA84" s="549">
        <f t="shared" si="153"/>
        <v>3.3434159375023968E-2</v>
      </c>
      <c r="CB84" s="147">
        <f t="shared" si="167"/>
        <v>148.97299888159543</v>
      </c>
      <c r="CC84" s="153">
        <f t="shared" si="168"/>
        <v>0.35420304729933344</v>
      </c>
      <c r="CD84" s="5">
        <f t="shared" si="169"/>
        <v>2.4490000000000007</v>
      </c>
      <c r="CE84" s="153">
        <f t="shared" si="170"/>
        <v>0.87364345667340071</v>
      </c>
      <c r="CF84" s="5">
        <f t="shared" si="171"/>
        <v>87.364345667340075</v>
      </c>
      <c r="CG84">
        <f t="shared" si="172"/>
        <v>79.000000000000014</v>
      </c>
      <c r="CI84" s="59">
        <f t="shared" si="154"/>
        <v>-50</v>
      </c>
      <c r="CJ84">
        <f t="shared" si="155"/>
        <v>-50</v>
      </c>
    </row>
    <row r="85" spans="5:88" x14ac:dyDescent="0.25">
      <c r="E85" s="150">
        <v>80</v>
      </c>
      <c r="F85" s="191">
        <f t="shared" si="173"/>
        <v>8.0000000000000016E-2</v>
      </c>
      <c r="G85" s="191">
        <f t="shared" si="156"/>
        <v>8.0000000000000016E-2</v>
      </c>
      <c r="H85" s="191">
        <f t="shared" si="105"/>
        <v>1.2000000000000002</v>
      </c>
      <c r="I85" s="191">
        <f t="shared" si="174"/>
        <v>1.2800000000000002</v>
      </c>
      <c r="J85" s="472">
        <f t="shared" si="106"/>
        <v>15</v>
      </c>
      <c r="K85" s="386">
        <f t="shared" si="107"/>
        <v>15.32</v>
      </c>
      <c r="L85" s="386">
        <f t="shared" si="108"/>
        <v>30.32</v>
      </c>
      <c r="M85" s="386"/>
      <c r="N85" s="191">
        <f t="shared" si="109"/>
        <v>0.50527704485488123</v>
      </c>
      <c r="O85" s="152">
        <f t="shared" si="157"/>
        <v>1.237725019150566</v>
      </c>
      <c r="P85" s="152">
        <f t="shared" si="110"/>
        <v>2.7284960422163587</v>
      </c>
      <c r="Q85" s="191">
        <f t="shared" si="111"/>
        <v>8.25150012767044E-2</v>
      </c>
      <c r="R85" s="191">
        <f t="shared" si="112"/>
        <v>7.7357813696910374E-2</v>
      </c>
      <c r="S85" s="386">
        <f t="shared" si="113"/>
        <v>15</v>
      </c>
      <c r="T85" s="191">
        <f t="shared" si="114"/>
        <v>0.72714050865486912</v>
      </c>
      <c r="U85" s="191">
        <f t="shared" si="115"/>
        <v>2.2783735937852567</v>
      </c>
      <c r="V85" s="191">
        <f t="shared" si="116"/>
        <v>2.2307835448289066</v>
      </c>
      <c r="W85" s="175">
        <f t="shared" si="117"/>
        <v>350</v>
      </c>
      <c r="X85" s="386">
        <f t="shared" si="158"/>
        <v>221.77093617707413</v>
      </c>
      <c r="Z85" s="191">
        <f t="shared" si="118"/>
        <v>0.46073894667618365</v>
      </c>
      <c r="AA85" s="153">
        <f t="shared" si="119"/>
        <v>1.4134941575574826</v>
      </c>
      <c r="AB85" s="153">
        <f t="shared" si="120"/>
        <v>0.11396906662504547</v>
      </c>
      <c r="AC85" s="153"/>
      <c r="AD85" s="153">
        <f t="shared" si="121"/>
        <v>0.46018276762402083</v>
      </c>
      <c r="AE85" s="317">
        <f t="shared" si="122"/>
        <v>2317.91962174941</v>
      </c>
      <c r="AF85" s="463">
        <f t="shared" si="123"/>
        <v>1.2079797650130546E-2</v>
      </c>
      <c r="AH85" s="153">
        <f t="shared" si="124"/>
        <v>0.54910814676064124</v>
      </c>
      <c r="AI85" s="153">
        <f t="shared" si="125"/>
        <v>0.54910814676064124</v>
      </c>
      <c r="AJ85" s="153">
        <f t="shared" si="126"/>
        <v>1.4956356642671416</v>
      </c>
      <c r="AL85" s="317">
        <f t="shared" si="127"/>
        <v>80.000000000000014</v>
      </c>
      <c r="AM85" s="147">
        <f t="shared" si="128"/>
        <v>221.77093617707413</v>
      </c>
      <c r="AO85">
        <f t="shared" si="159"/>
        <v>80.000000000000014</v>
      </c>
      <c r="AP85">
        <f t="shared" si="129"/>
        <v>221.77093617707413</v>
      </c>
      <c r="AR85" s="5">
        <f t="shared" si="160"/>
        <v>4.5091571386141638</v>
      </c>
      <c r="AS85" s="5">
        <f t="shared" si="130"/>
        <v>1.7205388598500091</v>
      </c>
      <c r="AT85" s="5">
        <f t="shared" si="161"/>
        <v>2.7886182787641545</v>
      </c>
      <c r="AU85" s="153">
        <f t="shared" si="162"/>
        <v>0.38156551367797231</v>
      </c>
      <c r="AW85" s="5">
        <f t="shared" si="131"/>
        <v>0.96692791308641945</v>
      </c>
      <c r="AX85" s="5">
        <f t="shared" si="132"/>
        <v>9.522507965629627</v>
      </c>
      <c r="AY85" s="5">
        <f t="shared" si="133"/>
        <v>0.96440494504700414</v>
      </c>
      <c r="AZ85" s="5">
        <f t="shared" si="134"/>
        <v>4.6488666533096934</v>
      </c>
      <c r="BA85" s="5">
        <f t="shared" si="135"/>
        <v>0.68303934136643008</v>
      </c>
      <c r="BB85" s="147">
        <f t="shared" si="136"/>
        <v>51.779061713593364</v>
      </c>
      <c r="BC85" s="5"/>
      <c r="BD85" s="153">
        <f t="shared" si="163"/>
        <v>0.19583116955028249</v>
      </c>
      <c r="BE85" s="153">
        <f t="shared" si="137"/>
        <v>0.24931253206675585</v>
      </c>
      <c r="BF85" s="153">
        <f t="shared" si="138"/>
        <v>0.2496384308014836</v>
      </c>
      <c r="BG85" s="153"/>
      <c r="BH85" s="463">
        <f t="shared" si="139"/>
        <v>1.3422446438601021E-2</v>
      </c>
      <c r="BI85" s="463">
        <f t="shared" si="140"/>
        <v>1.8461276129866151E-2</v>
      </c>
      <c r="BJ85" s="463">
        <f t="shared" si="141"/>
        <v>2.7721367022134264E-3</v>
      </c>
      <c r="BK85" s="463">
        <f t="shared" si="142"/>
        <v>1.0193727693891555E-2</v>
      </c>
      <c r="BL85">
        <f t="shared" si="143"/>
        <v>4.3499999999999997E-3</v>
      </c>
      <c r="BM85">
        <f t="shared" si="144"/>
        <v>5.544273404426853E-6</v>
      </c>
      <c r="BN85">
        <f t="shared" si="145"/>
        <v>5.1143816169262675E-2</v>
      </c>
      <c r="BO85" s="147">
        <f t="shared" si="164"/>
        <v>51.143816169262678</v>
      </c>
      <c r="BP85" s="153">
        <f t="shared" si="146"/>
        <v>7.8047748325190403E-2</v>
      </c>
      <c r="BQ85" s="153">
        <f t="shared" si="147"/>
        <v>7.8171980445632727E-2</v>
      </c>
      <c r="BR85" s="463"/>
      <c r="BT85" s="147">
        <f t="shared" si="165"/>
        <v>156.21972877082314</v>
      </c>
      <c r="BU85" s="463">
        <f t="shared" si="148"/>
        <v>3.8349846967431489E-2</v>
      </c>
      <c r="BV85" s="463">
        <f t="shared" si="149"/>
        <v>6.2156738645537168E-2</v>
      </c>
      <c r="BW85" s="463">
        <f t="shared" si="150"/>
        <v>3.1159673066513561E-3</v>
      </c>
      <c r="BX85" s="463">
        <f t="shared" si="151"/>
        <v>0</v>
      </c>
      <c r="BY85" s="463">
        <f t="shared" si="152"/>
        <v>0.11702739345165357</v>
      </c>
      <c r="BZ85" s="463">
        <f t="shared" si="166"/>
        <v>0.10362255291962001</v>
      </c>
      <c r="CA85" s="549">
        <f t="shared" si="153"/>
        <v>3.3434159375023961E-2</v>
      </c>
      <c r="CB85" s="147">
        <f t="shared" si="167"/>
        <v>150.46155282667752</v>
      </c>
      <c r="CC85" s="153">
        <f t="shared" si="168"/>
        <v>0.35782509776676336</v>
      </c>
      <c r="CD85" s="5">
        <f t="shared" si="169"/>
        <v>2.4800000000000004</v>
      </c>
      <c r="CE85" s="153">
        <f t="shared" si="170"/>
        <v>0.87390868519403997</v>
      </c>
      <c r="CF85" s="5">
        <f t="shared" si="171"/>
        <v>87.390868519403995</v>
      </c>
      <c r="CG85">
        <f t="shared" si="172"/>
        <v>80.000000000000014</v>
      </c>
      <c r="CI85" s="59">
        <f t="shared" si="154"/>
        <v>-50</v>
      </c>
      <c r="CJ85">
        <f t="shared" si="155"/>
        <v>-50</v>
      </c>
    </row>
    <row r="86" spans="5:88" x14ac:dyDescent="0.25">
      <c r="E86" s="150">
        <v>81</v>
      </c>
      <c r="F86" s="191">
        <f t="shared" si="173"/>
        <v>8.1000000000000016E-2</v>
      </c>
      <c r="G86" s="191">
        <f t="shared" si="156"/>
        <v>8.1000000000000016E-2</v>
      </c>
      <c r="H86" s="191">
        <f t="shared" si="105"/>
        <v>1.2150000000000003</v>
      </c>
      <c r="I86" s="191">
        <f t="shared" si="174"/>
        <v>1.2960000000000003</v>
      </c>
      <c r="J86" s="472">
        <f t="shared" si="106"/>
        <v>15</v>
      </c>
      <c r="K86" s="386">
        <f t="shared" si="107"/>
        <v>15.32</v>
      </c>
      <c r="L86" s="386">
        <f t="shared" si="108"/>
        <v>30.32</v>
      </c>
      <c r="M86" s="386"/>
      <c r="N86" s="191">
        <f t="shared" si="109"/>
        <v>0.50527704485488123</v>
      </c>
      <c r="O86" s="152">
        <f t="shared" si="157"/>
        <v>1.237725019150566</v>
      </c>
      <c r="P86" s="152">
        <f t="shared" si="110"/>
        <v>2.7284960422163587</v>
      </c>
      <c r="Q86" s="191">
        <f t="shared" si="111"/>
        <v>8.25150012767044E-2</v>
      </c>
      <c r="R86" s="191">
        <f t="shared" si="112"/>
        <v>7.7357813696910374E-2</v>
      </c>
      <c r="S86" s="386">
        <f t="shared" si="113"/>
        <v>15</v>
      </c>
      <c r="T86" s="191">
        <f t="shared" si="114"/>
        <v>0.73622976501305504</v>
      </c>
      <c r="U86" s="191">
        <f t="shared" si="115"/>
        <v>2.3068532637075725</v>
      </c>
      <c r="V86" s="191">
        <f t="shared" si="116"/>
        <v>2.2586683391392679</v>
      </c>
      <c r="W86" s="175">
        <f t="shared" si="117"/>
        <v>350</v>
      </c>
      <c r="X86" s="386">
        <f t="shared" si="158"/>
        <v>219.03302338476459</v>
      </c>
      <c r="Z86" s="191">
        <f t="shared" si="118"/>
        <v>0.46073894667618365</v>
      </c>
      <c r="AA86" s="153">
        <f t="shared" si="119"/>
        <v>1.4134941575574826</v>
      </c>
      <c r="AB86" s="153">
        <f t="shared" si="120"/>
        <v>0.11396906662504547</v>
      </c>
      <c r="AC86" s="153"/>
      <c r="AD86" s="153">
        <f t="shared" si="121"/>
        <v>0.46018276762402083</v>
      </c>
      <c r="AE86" s="317">
        <f t="shared" si="122"/>
        <v>2346.8936170212774</v>
      </c>
      <c r="AF86" s="463">
        <f t="shared" si="123"/>
        <v>1.2079797650130546E-2</v>
      </c>
      <c r="AH86" s="153">
        <f t="shared" si="124"/>
        <v>0.55252941442007608</v>
      </c>
      <c r="AI86" s="153">
        <f t="shared" si="125"/>
        <v>0.55252941442007608</v>
      </c>
      <c r="AJ86" s="153">
        <f t="shared" si="126"/>
        <v>1.4981699366074637</v>
      </c>
      <c r="AL86" s="317">
        <f t="shared" si="127"/>
        <v>81.000000000000014</v>
      </c>
      <c r="AM86" s="147">
        <f t="shared" si="128"/>
        <v>219.03302338476459</v>
      </c>
      <c r="AO86">
        <f t="shared" si="159"/>
        <v>81.000000000000014</v>
      </c>
      <c r="AP86">
        <f t="shared" si="129"/>
        <v>219.03302338476459</v>
      </c>
      <c r="AR86" s="5">
        <f t="shared" si="160"/>
        <v>4.5655216028468404</v>
      </c>
      <c r="AS86" s="5">
        <f t="shared" si="130"/>
        <v>1.7312588318495719</v>
      </c>
      <c r="AT86" s="5">
        <f t="shared" si="161"/>
        <v>2.8342627709972685</v>
      </c>
      <c r="AU86" s="153">
        <f t="shared" si="162"/>
        <v>0.37920285620158756</v>
      </c>
      <c r="AW86" s="5">
        <f t="shared" si="131"/>
        <v>0.96692791308641945</v>
      </c>
      <c r="AX86" s="5">
        <f t="shared" si="132"/>
        <v>9.75902105664</v>
      </c>
      <c r="AY86" s="5">
        <f t="shared" si="133"/>
        <v>0.96440494504700414</v>
      </c>
      <c r="AZ86" s="5">
        <f t="shared" si="134"/>
        <v>4.7637897050570146</v>
      </c>
      <c r="BA86" s="5">
        <f t="shared" si="135"/>
        <v>0.70289716720732276</v>
      </c>
      <c r="BB86" s="147">
        <f t="shared" si="136"/>
        <v>53.275287540549208</v>
      </c>
      <c r="BC86" s="5"/>
      <c r="BD86" s="153">
        <f t="shared" si="163"/>
        <v>0.19644029407341795</v>
      </c>
      <c r="BE86" s="153">
        <f t="shared" si="137"/>
        <v>0.25134464147357466</v>
      </c>
      <c r="BF86" s="153">
        <f t="shared" si="138"/>
        <v>0.25167319656046827</v>
      </c>
      <c r="BG86" s="153"/>
      <c r="BH86" s="463">
        <f t="shared" si="139"/>
        <v>1.3506076197477823E-2</v>
      </c>
      <c r="BI86" s="463">
        <f t="shared" si="140"/>
        <v>1.8346963723455529E-2</v>
      </c>
      <c r="BJ86" s="463">
        <f t="shared" si="141"/>
        <v>2.7379127923095573E-3</v>
      </c>
      <c r="BK86" s="463">
        <f t="shared" si="142"/>
        <v>1.006787920384351E-2</v>
      </c>
      <c r="BL86">
        <f t="shared" si="143"/>
        <v>4.3499999999999997E-3</v>
      </c>
      <c r="BM86">
        <f t="shared" si="144"/>
        <v>5.4758255846191148E-6</v>
      </c>
      <c r="BN86">
        <f t="shared" si="145"/>
        <v>5.0964625304129867E-2</v>
      </c>
      <c r="BO86" s="147">
        <f t="shared" si="164"/>
        <v>50.964625304129868</v>
      </c>
      <c r="BP86" s="153">
        <f t="shared" si="146"/>
        <v>7.9207034401274565E-2</v>
      </c>
      <c r="BQ86" s="153">
        <f t="shared" si="147"/>
        <v>7.933329997036058E-2</v>
      </c>
      <c r="BR86" s="463"/>
      <c r="BT86" s="147">
        <f t="shared" si="165"/>
        <v>158.54033437163514</v>
      </c>
      <c r="BU86" s="463">
        <f t="shared" si="148"/>
        <v>3.8588789135650926E-2</v>
      </c>
      <c r="BV86" s="463">
        <f t="shared" si="149"/>
        <v>6.3174128797479787E-2</v>
      </c>
      <c r="BW86" s="463">
        <f t="shared" si="150"/>
        <v>3.1669698933482053E-3</v>
      </c>
      <c r="BX86" s="463">
        <f t="shared" si="151"/>
        <v>0</v>
      </c>
      <c r="BY86" s="463">
        <f t="shared" si="152"/>
        <v>0.11851634692472968</v>
      </c>
      <c r="BZ86" s="463">
        <f t="shared" si="166"/>
        <v>0.10492988782647893</v>
      </c>
      <c r="CA86" s="549">
        <f t="shared" si="153"/>
        <v>3.3434159375023961E-2</v>
      </c>
      <c r="CB86" s="147">
        <f t="shared" si="167"/>
        <v>151.95050629975364</v>
      </c>
      <c r="CC86" s="153">
        <f t="shared" si="168"/>
        <v>0.36145546597551864</v>
      </c>
      <c r="CD86" s="5">
        <f t="shared" si="169"/>
        <v>2.5110000000000006</v>
      </c>
      <c r="CE86" s="153">
        <f t="shared" si="170"/>
        <v>0.8741649887154076</v>
      </c>
      <c r="CF86" s="5">
        <f t="shared" si="171"/>
        <v>87.416498871540753</v>
      </c>
      <c r="CG86">
        <f t="shared" si="172"/>
        <v>81.000000000000014</v>
      </c>
      <c r="CI86" s="59">
        <f t="shared" si="154"/>
        <v>-50</v>
      </c>
      <c r="CJ86">
        <f t="shared" si="155"/>
        <v>-50</v>
      </c>
    </row>
    <row r="87" spans="5:88" x14ac:dyDescent="0.25">
      <c r="E87" s="150">
        <v>82</v>
      </c>
      <c r="F87" s="191">
        <f t="shared" si="173"/>
        <v>8.2000000000000003E-2</v>
      </c>
      <c r="G87" s="191">
        <f t="shared" si="156"/>
        <v>8.2000000000000003E-2</v>
      </c>
      <c r="H87" s="191">
        <f t="shared" si="105"/>
        <v>1.23</v>
      </c>
      <c r="I87" s="191">
        <f t="shared" si="174"/>
        <v>1.3120000000000001</v>
      </c>
      <c r="J87" s="472">
        <f t="shared" si="106"/>
        <v>15</v>
      </c>
      <c r="K87" s="386">
        <f t="shared" si="107"/>
        <v>15.32</v>
      </c>
      <c r="L87" s="386">
        <f t="shared" si="108"/>
        <v>30.32</v>
      </c>
      <c r="M87" s="386"/>
      <c r="N87" s="191">
        <f t="shared" si="109"/>
        <v>0.50527704485488123</v>
      </c>
      <c r="O87" s="152">
        <f t="shared" si="157"/>
        <v>1.237725019150566</v>
      </c>
      <c r="P87" s="152">
        <f t="shared" si="110"/>
        <v>2.7284960422163587</v>
      </c>
      <c r="Q87" s="191">
        <f t="shared" si="111"/>
        <v>8.25150012767044E-2</v>
      </c>
      <c r="R87" s="191">
        <f t="shared" si="112"/>
        <v>7.7357813696910374E-2</v>
      </c>
      <c r="S87" s="386">
        <f t="shared" si="113"/>
        <v>15</v>
      </c>
      <c r="T87" s="191">
        <f t="shared" si="114"/>
        <v>0.74531902137124073</v>
      </c>
      <c r="U87" s="191">
        <f t="shared" si="115"/>
        <v>2.3353329336298874</v>
      </c>
      <c r="V87" s="191">
        <f t="shared" si="116"/>
        <v>2.2865531334496287</v>
      </c>
      <c r="W87" s="175">
        <f t="shared" si="117"/>
        <v>350</v>
      </c>
      <c r="X87" s="386">
        <f t="shared" si="158"/>
        <v>216.36188895324315</v>
      </c>
      <c r="Z87" s="191">
        <f t="shared" si="118"/>
        <v>0.46073894667618365</v>
      </c>
      <c r="AA87" s="153">
        <f t="shared" si="119"/>
        <v>1.4134941575574826</v>
      </c>
      <c r="AB87" s="153">
        <f t="shared" si="120"/>
        <v>0.11396906662504547</v>
      </c>
      <c r="AC87" s="153"/>
      <c r="AD87" s="153">
        <f t="shared" si="121"/>
        <v>0.46018276762402083</v>
      </c>
      <c r="AE87" s="317">
        <f t="shared" si="122"/>
        <v>2375.8676122931447</v>
      </c>
      <c r="AF87" s="463">
        <f t="shared" si="123"/>
        <v>1.2079797650130546E-2</v>
      </c>
      <c r="AH87" s="153">
        <f t="shared" si="124"/>
        <v>0.55592962752481401</v>
      </c>
      <c r="AI87" s="153">
        <f t="shared" si="125"/>
        <v>0.55592962752481401</v>
      </c>
      <c r="AJ87" s="153">
        <f t="shared" si="126"/>
        <v>1.5006886129813437</v>
      </c>
      <c r="AL87" s="317">
        <f t="shared" si="127"/>
        <v>82</v>
      </c>
      <c r="AM87" s="147">
        <f t="shared" si="128"/>
        <v>216.36188895324315</v>
      </c>
      <c r="AO87">
        <f t="shared" si="159"/>
        <v>82</v>
      </c>
      <c r="AP87">
        <f t="shared" si="129"/>
        <v>216.36188895324315</v>
      </c>
      <c r="AR87" s="5">
        <f t="shared" si="160"/>
        <v>4.6218860670795161</v>
      </c>
      <c r="AS87" s="5">
        <f t="shared" si="130"/>
        <v>1.7419128329110836</v>
      </c>
      <c r="AT87" s="5">
        <f t="shared" si="161"/>
        <v>2.8799732341684328</v>
      </c>
      <c r="AU87" s="153">
        <f t="shared" si="162"/>
        <v>0.37688355092053705</v>
      </c>
      <c r="AW87" s="5">
        <f t="shared" si="131"/>
        <v>0.96692791308641945</v>
      </c>
      <c r="AX87" s="5">
        <f t="shared" si="132"/>
        <v>9.9984349313896264</v>
      </c>
      <c r="AY87" s="5">
        <f t="shared" si="133"/>
        <v>0.96440494504700414</v>
      </c>
      <c r="AZ87" s="5">
        <f t="shared" si="134"/>
        <v>4.8801155276334942</v>
      </c>
      <c r="BA87" s="5">
        <f t="shared" si="135"/>
        <v>0.72305105790184243</v>
      </c>
      <c r="BB87" s="147">
        <f t="shared" si="136"/>
        <v>54.793718231527073</v>
      </c>
      <c r="BC87" s="5"/>
      <c r="BD87" s="153">
        <f t="shared" si="163"/>
        <v>0.19704380439037514</v>
      </c>
      <c r="BE87" s="153">
        <f t="shared" si="137"/>
        <v>0.25336335450230441</v>
      </c>
      <c r="BF87" s="153">
        <f t="shared" si="138"/>
        <v>0.25369454842975842</v>
      </c>
      <c r="BG87" s="153"/>
      <c r="BH87" s="463">
        <f t="shared" si="139"/>
        <v>1.3589191297021347E-2</v>
      </c>
      <c r="BI87" s="463">
        <f t="shared" si="140"/>
        <v>1.8234748825389394E-2</v>
      </c>
      <c r="BJ87" s="463">
        <f t="shared" si="141"/>
        <v>2.704523611915539E-3</v>
      </c>
      <c r="BK87" s="463">
        <f t="shared" si="142"/>
        <v>9.9451001891624948E-3</v>
      </c>
      <c r="BL87">
        <f t="shared" si="143"/>
        <v>4.3499999999999997E-3</v>
      </c>
      <c r="BM87">
        <f t="shared" si="144"/>
        <v>5.4090472238310783E-6</v>
      </c>
      <c r="BN87">
        <f t="shared" si="145"/>
        <v>5.0790856926594331E-2</v>
      </c>
      <c r="BO87" s="147">
        <f t="shared" si="164"/>
        <v>50.79085692659433</v>
      </c>
      <c r="BP87" s="153">
        <f t="shared" si="146"/>
        <v>8.036744390516054E-2</v>
      </c>
      <c r="BQ87" s="153">
        <f t="shared" si="147"/>
        <v>8.0495745861875995E-2</v>
      </c>
      <c r="BR87" s="463"/>
      <c r="BT87" s="147">
        <f t="shared" si="165"/>
        <v>160.86318976703654</v>
      </c>
      <c r="BU87" s="463">
        <f t="shared" si="148"/>
        <v>3.8826260848632423E-2</v>
      </c>
      <c r="BV87" s="463">
        <f t="shared" si="149"/>
        <v>6.4192989404660381E-2</v>
      </c>
      <c r="BW87" s="463">
        <f t="shared" si="150"/>
        <v>3.2180461951489521E-3</v>
      </c>
      <c r="BX87" s="463">
        <f t="shared" si="151"/>
        <v>0</v>
      </c>
      <c r="BY87" s="463">
        <f t="shared" si="152"/>
        <v>0.12000569849961526</v>
      </c>
      <c r="BZ87" s="463">
        <f t="shared" si="166"/>
        <v>0.10623729644844176</v>
      </c>
      <c r="CA87" s="549">
        <f t="shared" si="153"/>
        <v>3.3434159375023968E-2</v>
      </c>
      <c r="CB87" s="147">
        <f t="shared" si="167"/>
        <v>153.43985787463924</v>
      </c>
      <c r="CC87" s="153">
        <f t="shared" si="168"/>
        <v>0.36509390456827012</v>
      </c>
      <c r="CD87" s="5">
        <f t="shared" si="169"/>
        <v>2.5419999999999998</v>
      </c>
      <c r="CE87" s="153">
        <f t="shared" si="170"/>
        <v>0.87441275839264998</v>
      </c>
      <c r="CF87" s="5">
        <f t="shared" si="171"/>
        <v>87.441275839265003</v>
      </c>
      <c r="CG87">
        <f t="shared" si="172"/>
        <v>82</v>
      </c>
      <c r="CI87" s="59">
        <f t="shared" si="154"/>
        <v>-50</v>
      </c>
      <c r="CJ87">
        <f t="shared" si="155"/>
        <v>-50</v>
      </c>
    </row>
    <row r="88" spans="5:88" x14ac:dyDescent="0.25">
      <c r="E88" s="150">
        <v>83</v>
      </c>
      <c r="F88" s="191">
        <f t="shared" si="173"/>
        <v>8.3000000000000004E-2</v>
      </c>
      <c r="G88" s="191">
        <f t="shared" si="156"/>
        <v>8.3000000000000004E-2</v>
      </c>
      <c r="H88" s="191">
        <f t="shared" si="105"/>
        <v>1.2450000000000001</v>
      </c>
      <c r="I88" s="191">
        <f t="shared" si="174"/>
        <v>1.3280000000000001</v>
      </c>
      <c r="J88" s="472">
        <f t="shared" si="106"/>
        <v>15</v>
      </c>
      <c r="K88" s="386">
        <f t="shared" si="107"/>
        <v>15.232349628320071</v>
      </c>
      <c r="L88" s="386">
        <f t="shared" si="108"/>
        <v>30.32</v>
      </c>
      <c r="M88" s="386"/>
      <c r="N88" s="191">
        <f t="shared" si="109"/>
        <v>0.50527704485488123</v>
      </c>
      <c r="O88" s="152">
        <f t="shared" si="157"/>
        <v>1.237725019150566</v>
      </c>
      <c r="P88" s="152">
        <f t="shared" si="110"/>
        <v>2.7284960422163587</v>
      </c>
      <c r="Q88" s="191">
        <f t="shared" si="111"/>
        <v>8.25150012767044E-2</v>
      </c>
      <c r="R88" s="191">
        <f t="shared" si="112"/>
        <v>7.7357813696910374E-2</v>
      </c>
      <c r="S88" s="386">
        <f t="shared" si="113"/>
        <v>14.91234962832007</v>
      </c>
      <c r="T88" s="191">
        <f t="shared" si="114"/>
        <v>0.75</v>
      </c>
      <c r="U88" s="191">
        <f t="shared" si="115"/>
        <v>2.35</v>
      </c>
      <c r="V88" s="191">
        <f t="shared" si="116"/>
        <v>2.3141538147511396</v>
      </c>
      <c r="W88" s="175">
        <f t="shared" si="117"/>
        <v>350</v>
      </c>
      <c r="X88" s="386">
        <f t="shared" si="158"/>
        <v>214.40116250826429</v>
      </c>
      <c r="Z88" s="191">
        <f t="shared" si="118"/>
        <v>0.45943106251770921</v>
      </c>
      <c r="AA88" s="153">
        <f t="shared" si="119"/>
        <v>1.4175921945873682</v>
      </c>
      <c r="AB88" s="153">
        <f t="shared" si="120"/>
        <v>0.11397503043081501</v>
      </c>
      <c r="AC88" s="153"/>
      <c r="AD88" s="153">
        <f t="shared" si="121"/>
        <v>0.46283076295022796</v>
      </c>
      <c r="AE88" s="317">
        <f t="shared" si="122"/>
        <v>2391.0827785353495</v>
      </c>
      <c r="AF88" s="463">
        <f t="shared" si="123"/>
        <v>1.2149307527443485E-2</v>
      </c>
      <c r="AH88" s="153">
        <f t="shared" si="124"/>
        <v>0.55930917006639969</v>
      </c>
      <c r="AI88" s="153">
        <f t="shared" si="125"/>
        <v>0.55930917006639969</v>
      </c>
      <c r="AJ88" s="153">
        <f t="shared" si="126"/>
        <v>1.5031919778269627</v>
      </c>
      <c r="AL88" s="317">
        <f t="shared" si="127"/>
        <v>83</v>
      </c>
      <c r="AM88" s="147">
        <f t="shared" si="128"/>
        <v>214.40116250826429</v>
      </c>
      <c r="AO88" t="str">
        <f t="shared" si="159"/>
        <v/>
      </c>
      <c r="AP88" t="str">
        <f t="shared" si="129"/>
        <v/>
      </c>
      <c r="AR88" s="5">
        <f t="shared" si="160"/>
        <v>4.6641538147511401</v>
      </c>
      <c r="AS88" s="5">
        <f t="shared" si="130"/>
        <v>1.7525020662080524</v>
      </c>
      <c r="AT88" s="5">
        <f t="shared" si="161"/>
        <v>2.9116517485430879</v>
      </c>
      <c r="AU88" s="153">
        <f t="shared" si="162"/>
        <v>0.37573848029314155</v>
      </c>
      <c r="AW88" s="5">
        <f t="shared" si="131"/>
        <v>0.96692791308641945</v>
      </c>
      <c r="AX88" s="5">
        <f t="shared" si="132"/>
        <v>10.240749589878515</v>
      </c>
      <c r="AY88" s="5">
        <f t="shared" si="133"/>
        <v>0.96440494504700414</v>
      </c>
      <c r="AZ88" s="5">
        <f t="shared" si="134"/>
        <v>4.9978441210391358</v>
      </c>
      <c r="BA88" s="5">
        <f t="shared" si="135"/>
        <v>0.73991900730877702</v>
      </c>
      <c r="BB88" s="147">
        <f t="shared" si="136"/>
        <v>56.065703325936049</v>
      </c>
      <c r="BC88" s="5"/>
      <c r="BD88" s="153">
        <f t="shared" si="163"/>
        <v>0.19794026605981907</v>
      </c>
      <c r="BE88" s="153">
        <f t="shared" si="137"/>
        <v>0.25513767586466524</v>
      </c>
      <c r="BF88" s="153">
        <f t="shared" si="138"/>
        <v>0.25547118916644912</v>
      </c>
      <c r="BG88" s="153"/>
      <c r="BH88" s="463">
        <f t="shared" si="139"/>
        <v>1.3713122124741186E-2</v>
      </c>
      <c r="BI88" s="463">
        <f t="shared" si="140"/>
        <v>1.8179346897587316E-2</v>
      </c>
      <c r="BJ88" s="463">
        <f t="shared" si="141"/>
        <v>2.6800145313533035E-3</v>
      </c>
      <c r="BK88" s="463">
        <f t="shared" si="142"/>
        <v>9.854975162831868E-3</v>
      </c>
      <c r="BL88">
        <f t="shared" si="143"/>
        <v>4.3499999999999997E-3</v>
      </c>
      <c r="BM88">
        <f t="shared" si="144"/>
        <v>5.3600290627066068E-6</v>
      </c>
      <c r="BN88">
        <f t="shared" si="145"/>
        <v>5.0762523021424928E-2</v>
      </c>
      <c r="BO88" s="147">
        <f t="shared" si="164"/>
        <v>50.762523021424926</v>
      </c>
      <c r="BP88" s="153">
        <f t="shared" si="146"/>
        <v>8.1438758505255976E-2</v>
      </c>
      <c r="BQ88" s="153">
        <f t="shared" si="147"/>
        <v>8.1568863769507394E-2</v>
      </c>
      <c r="BR88" s="463"/>
      <c r="BT88" s="147">
        <f t="shared" si="165"/>
        <v>163.00762227476338</v>
      </c>
      <c r="BU88" s="463">
        <f t="shared" si="148"/>
        <v>3.9180348927831961E-2</v>
      </c>
      <c r="BV88" s="463">
        <f t="shared" si="149"/>
        <v>6.5095233645622988E-2</v>
      </c>
      <c r="BW88" s="463">
        <f t="shared" si="150"/>
        <v>3.2632764247059812E-3</v>
      </c>
      <c r="BX88" s="463">
        <f t="shared" si="151"/>
        <v>0</v>
      </c>
      <c r="BY88" s="463">
        <f t="shared" si="152"/>
        <v>0.12148870259459543</v>
      </c>
      <c r="BZ88" s="463">
        <f t="shared" si="166"/>
        <v>0.10753885899816093</v>
      </c>
      <c r="CA88" s="549">
        <f t="shared" si="153"/>
        <v>3.3535209187462868E-2</v>
      </c>
      <c r="CB88" s="147">
        <f t="shared" si="167"/>
        <v>155.02391178205829</v>
      </c>
      <c r="CC88" s="153">
        <f t="shared" si="168"/>
        <v>0.36879405707824664</v>
      </c>
      <c r="CD88" s="5">
        <f t="shared" si="169"/>
        <v>2.5730000000000004</v>
      </c>
      <c r="CE88" s="153">
        <f t="shared" si="170"/>
        <v>0.87463634437941318</v>
      </c>
      <c r="CF88" s="5">
        <f t="shared" si="171"/>
        <v>87.463634437941323</v>
      </c>
      <c r="CG88">
        <f t="shared" si="172"/>
        <v>83</v>
      </c>
      <c r="CI88" s="59">
        <f t="shared" si="154"/>
        <v>-50</v>
      </c>
      <c r="CJ88">
        <f t="shared" si="155"/>
        <v>-50</v>
      </c>
    </row>
    <row r="89" spans="5:88" x14ac:dyDescent="0.25">
      <c r="E89" s="150">
        <v>84</v>
      </c>
      <c r="F89" s="191">
        <f t="shared" si="173"/>
        <v>8.4000000000000005E-2</v>
      </c>
      <c r="G89" s="191">
        <f t="shared" si="156"/>
        <v>8.4000000000000005E-2</v>
      </c>
      <c r="H89" s="191">
        <f t="shared" si="105"/>
        <v>1.26</v>
      </c>
      <c r="I89" s="191">
        <f t="shared" si="174"/>
        <v>1.3440000000000001</v>
      </c>
      <c r="J89" s="472">
        <f t="shared" si="106"/>
        <v>15</v>
      </c>
      <c r="K89" s="386">
        <f t="shared" si="107"/>
        <v>15.054821656554356</v>
      </c>
      <c r="L89" s="386">
        <f t="shared" si="108"/>
        <v>30.32</v>
      </c>
      <c r="M89" s="386"/>
      <c r="N89" s="191">
        <f t="shared" si="109"/>
        <v>0.50527704485488123</v>
      </c>
      <c r="O89" s="152">
        <f t="shared" si="157"/>
        <v>1.237725019150566</v>
      </c>
      <c r="P89" s="152">
        <f t="shared" si="110"/>
        <v>2.7284960422163587</v>
      </c>
      <c r="Q89" s="191">
        <f t="shared" si="111"/>
        <v>8.25150012767044E-2</v>
      </c>
      <c r="R89" s="191">
        <f t="shared" si="112"/>
        <v>7.7357813696910374E-2</v>
      </c>
      <c r="S89" s="386">
        <f t="shared" si="113"/>
        <v>14.734821656554356</v>
      </c>
      <c r="T89" s="191">
        <f t="shared" si="114"/>
        <v>0.75</v>
      </c>
      <c r="U89" s="191">
        <f t="shared" si="115"/>
        <v>2.35</v>
      </c>
      <c r="V89" s="191">
        <f t="shared" si="116"/>
        <v>2.3414425493810715</v>
      </c>
      <c r="W89" s="175">
        <f t="shared" si="117"/>
        <v>350</v>
      </c>
      <c r="X89" s="386">
        <f t="shared" si="158"/>
        <v>213.1540543178829</v>
      </c>
      <c r="Z89" s="191">
        <f t="shared" si="118"/>
        <v>0.45675868782403478</v>
      </c>
      <c r="AA89" s="153">
        <f t="shared" si="119"/>
        <v>1.4259656352942147</v>
      </c>
      <c r="AB89" s="153">
        <f t="shared" si="120"/>
        <v>0.11398138368035154</v>
      </c>
      <c r="AC89" s="153"/>
      <c r="AD89" s="153">
        <f t="shared" si="121"/>
        <v>0.46828850987621429</v>
      </c>
      <c r="AE89" s="317">
        <f t="shared" si="122"/>
        <v>2391.6879794809761</v>
      </c>
      <c r="AF89" s="463">
        <f t="shared" si="123"/>
        <v>1.2292573384250624E-2</v>
      </c>
      <c r="AH89" s="153">
        <f t="shared" si="124"/>
        <v>0.56266841450436078</v>
      </c>
      <c r="AI89" s="153">
        <f t="shared" si="125"/>
        <v>0.56266841450436078</v>
      </c>
      <c r="AJ89" s="153">
        <f t="shared" si="126"/>
        <v>1.5056803070402671</v>
      </c>
      <c r="AL89" s="317">
        <f t="shared" si="127"/>
        <v>84</v>
      </c>
      <c r="AM89" s="147">
        <f t="shared" si="128"/>
        <v>213.1540543178829</v>
      </c>
      <c r="AO89" t="str">
        <f t="shared" si="159"/>
        <v/>
      </c>
      <c r="AP89" t="str">
        <f t="shared" si="129"/>
        <v/>
      </c>
      <c r="AR89" s="5">
        <f t="shared" si="160"/>
        <v>4.6914425493810716</v>
      </c>
      <c r="AS89" s="5">
        <f t="shared" si="130"/>
        <v>1.7630276987803304</v>
      </c>
      <c r="AT89" s="5">
        <f t="shared" si="161"/>
        <v>2.928414850600741</v>
      </c>
      <c r="AU89" s="153">
        <f t="shared" si="162"/>
        <v>0.37579650186975466</v>
      </c>
      <c r="AW89" s="5">
        <f t="shared" si="131"/>
        <v>0.96692791308641945</v>
      </c>
      <c r="AX89" s="5">
        <f t="shared" si="132"/>
        <v>10.485965032106662</v>
      </c>
      <c r="AY89" s="5">
        <f t="shared" si="133"/>
        <v>0.96440494504700414</v>
      </c>
      <c r="AZ89" s="5">
        <f t="shared" si="134"/>
        <v>5.1169754852739349</v>
      </c>
      <c r="BA89" s="5">
        <f t="shared" si="135"/>
        <v>0.75314491565079811</v>
      </c>
      <c r="BB89" s="147">
        <f t="shared" si="136"/>
        <v>57.064535340476517</v>
      </c>
      <c r="BC89" s="5"/>
      <c r="BD89" s="153">
        <f t="shared" si="163"/>
        <v>0.19914448135119878</v>
      </c>
      <c r="BE89" s="153">
        <f t="shared" si="137"/>
        <v>0.25665811976436492</v>
      </c>
      <c r="BF89" s="153">
        <f t="shared" si="138"/>
        <v>0.25699362057451447</v>
      </c>
      <c r="BG89" s="153"/>
      <c r="BH89" s="463">
        <f t="shared" si="139"/>
        <v>1.3880483558423284E-2</v>
      </c>
      <c r="BI89" s="463">
        <f t="shared" si="140"/>
        <v>1.8182154154294083E-2</v>
      </c>
      <c r="BJ89" s="463">
        <f t="shared" si="141"/>
        <v>2.664425678973536E-3</v>
      </c>
      <c r="BK89" s="463">
        <f t="shared" si="142"/>
        <v>9.7976516852080059E-3</v>
      </c>
      <c r="BL89">
        <f t="shared" si="143"/>
        <v>4.3499999999999997E-3</v>
      </c>
      <c r="BM89">
        <f t="shared" si="144"/>
        <v>5.3288513579470722E-6</v>
      </c>
      <c r="BN89">
        <f t="shared" si="145"/>
        <v>5.0884221114841748E-2</v>
      </c>
      <c r="BO89" s="147">
        <f t="shared" si="164"/>
        <v>50.88422111484175</v>
      </c>
      <c r="BP89" s="153">
        <f t="shared" si="146"/>
        <v>8.2415270296908039E-2</v>
      </c>
      <c r="BQ89" s="153">
        <f t="shared" si="147"/>
        <v>8.2546930856222112E-2</v>
      </c>
      <c r="BR89" s="463"/>
      <c r="BT89" s="147">
        <f t="shared" si="165"/>
        <v>164.96220115313014</v>
      </c>
      <c r="BU89" s="463">
        <f t="shared" si="148"/>
        <v>3.9658524452637955E-2</v>
      </c>
      <c r="BV89" s="463">
        <f t="shared" si="149"/>
        <v>6.587339044097909E-2</v>
      </c>
      <c r="BW89" s="463">
        <f t="shared" si="150"/>
        <v>3.3022860507998758E-3</v>
      </c>
      <c r="BX89" s="463">
        <f t="shared" si="151"/>
        <v>0</v>
      </c>
      <c r="BY89" s="463">
        <f t="shared" si="152"/>
        <v>0.12296492823443354</v>
      </c>
      <c r="BZ89" s="463">
        <f t="shared" si="166"/>
        <v>0.10883420094441693</v>
      </c>
      <c r="CA89" s="549">
        <f t="shared" si="153"/>
        <v>3.3741833279256374E-2</v>
      </c>
      <c r="CB89" s="147">
        <f t="shared" si="167"/>
        <v>156.70676151368991</v>
      </c>
      <c r="CC89" s="153">
        <f t="shared" si="168"/>
        <v>0.37255318378166186</v>
      </c>
      <c r="CD89" s="5">
        <f t="shared" si="169"/>
        <v>2.6040000000000001</v>
      </c>
      <c r="CE89" s="153">
        <f t="shared" si="170"/>
        <v>0.87483738378618892</v>
      </c>
      <c r="CF89" s="5">
        <f t="shared" si="171"/>
        <v>87.483738378618895</v>
      </c>
      <c r="CG89">
        <f t="shared" si="172"/>
        <v>84</v>
      </c>
      <c r="CI89" s="59">
        <f t="shared" si="154"/>
        <v>-50</v>
      </c>
      <c r="CJ89">
        <f t="shared" si="155"/>
        <v>-50</v>
      </c>
    </row>
    <row r="90" spans="5:88" x14ac:dyDescent="0.25">
      <c r="E90" s="150">
        <v>85</v>
      </c>
      <c r="F90" s="191">
        <f t="shared" si="173"/>
        <v>8.5000000000000006E-2</v>
      </c>
      <c r="G90" s="191">
        <f t="shared" si="156"/>
        <v>8.5000000000000006E-2</v>
      </c>
      <c r="H90" s="191">
        <f t="shared" si="105"/>
        <v>1.2750000000000001</v>
      </c>
      <c r="I90" s="191">
        <f t="shared" si="174"/>
        <v>1.36</v>
      </c>
      <c r="J90" s="472">
        <f t="shared" si="106"/>
        <v>15</v>
      </c>
      <c r="K90" s="386">
        <f t="shared" si="107"/>
        <v>14.881470813536069</v>
      </c>
      <c r="L90" s="386">
        <f t="shared" si="108"/>
        <v>30.32</v>
      </c>
      <c r="M90" s="386"/>
      <c r="N90" s="191">
        <f t="shared" si="109"/>
        <v>0.50527704485488123</v>
      </c>
      <c r="O90" s="152">
        <f t="shared" si="157"/>
        <v>1.237725019150566</v>
      </c>
      <c r="P90" s="152">
        <f t="shared" si="110"/>
        <v>2.7284960422163587</v>
      </c>
      <c r="Q90" s="191">
        <f t="shared" si="111"/>
        <v>8.25150012767044E-2</v>
      </c>
      <c r="R90" s="191">
        <f t="shared" si="112"/>
        <v>7.7357813696910374E-2</v>
      </c>
      <c r="S90" s="386">
        <f t="shared" si="113"/>
        <v>14.561470813536069</v>
      </c>
      <c r="T90" s="191">
        <f t="shared" si="114"/>
        <v>0.75</v>
      </c>
      <c r="U90" s="191">
        <f t="shared" si="115"/>
        <v>2.35</v>
      </c>
      <c r="V90" s="191">
        <f t="shared" si="116"/>
        <v>2.3687174770343855</v>
      </c>
      <c r="W90" s="175">
        <f t="shared" si="117"/>
        <v>350</v>
      </c>
      <c r="X90" s="386">
        <f t="shared" si="158"/>
        <v>211.92199042789036</v>
      </c>
      <c r="Z90" s="191">
        <f t="shared" si="118"/>
        <v>0.45411855091690795</v>
      </c>
      <c r="AA90" s="153">
        <f t="shared" si="119"/>
        <v>1.4342380642698789</v>
      </c>
      <c r="AB90" s="153">
        <f t="shared" si="120"/>
        <v>0.11397996949781898</v>
      </c>
      <c r="AC90" s="153"/>
      <c r="AD90" s="153">
        <f t="shared" si="121"/>
        <v>0.47374349540687705</v>
      </c>
      <c r="AE90" s="317">
        <f t="shared" si="122"/>
        <v>2392.2931804266027</v>
      </c>
      <c r="AF90" s="463">
        <f t="shared" si="123"/>
        <v>1.2435766754430522E-2</v>
      </c>
      <c r="AH90" s="153">
        <f t="shared" si="124"/>
        <v>0.56600772224532192</v>
      </c>
      <c r="AI90" s="153">
        <f t="shared" si="125"/>
        <v>0.56600772224532192</v>
      </c>
      <c r="AJ90" s="153">
        <f t="shared" si="126"/>
        <v>1.5081538683298681</v>
      </c>
      <c r="AL90" s="317">
        <f t="shared" si="127"/>
        <v>85</v>
      </c>
      <c r="AM90" s="147">
        <f t="shared" si="128"/>
        <v>211.92199042789036</v>
      </c>
      <c r="AO90" t="str">
        <f t="shared" si="159"/>
        <v/>
      </c>
      <c r="AP90" t="str">
        <f t="shared" si="129"/>
        <v/>
      </c>
      <c r="AR90" s="5">
        <f t="shared" si="160"/>
        <v>4.718717477034386</v>
      </c>
      <c r="AS90" s="5">
        <f t="shared" si="130"/>
        <v>1.7734908630353421</v>
      </c>
      <c r="AT90" s="5">
        <f t="shared" si="161"/>
        <v>2.945226613999044</v>
      </c>
      <c r="AU90" s="153">
        <f t="shared" si="162"/>
        <v>0.37584171370012676</v>
      </c>
      <c r="AW90" s="5">
        <f t="shared" si="131"/>
        <v>0.96692791308641945</v>
      </c>
      <c r="AX90" s="5">
        <f t="shared" si="132"/>
        <v>10.734081258074074</v>
      </c>
      <c r="AY90" s="5">
        <f t="shared" si="133"/>
        <v>0.96440494504700414</v>
      </c>
      <c r="AZ90" s="5">
        <f t="shared" si="134"/>
        <v>5.2375096203378932</v>
      </c>
      <c r="BA90" s="5">
        <f t="shared" si="135"/>
        <v>0.76648613608765259</v>
      </c>
      <c r="BB90" s="147">
        <f t="shared" si="136"/>
        <v>58.072015762129496</v>
      </c>
      <c r="BC90" s="5"/>
      <c r="BD90" s="153">
        <f t="shared" si="163"/>
        <v>0.20033840828922331</v>
      </c>
      <c r="BE90" s="153">
        <f t="shared" si="137"/>
        <v>0.25817197636056399</v>
      </c>
      <c r="BF90" s="153">
        <f t="shared" si="138"/>
        <v>0.25850945606822484</v>
      </c>
      <c r="BG90" s="153"/>
      <c r="BH90" s="463">
        <f t="shared" si="139"/>
        <v>1.4047417242550837E-2</v>
      </c>
      <c r="BI90" s="463">
        <f t="shared" si="140"/>
        <v>1.8184341637321026E-2</v>
      </c>
      <c r="BJ90" s="463">
        <f t="shared" si="141"/>
        <v>2.6490248803486293E-3</v>
      </c>
      <c r="BK90" s="463">
        <f t="shared" si="142"/>
        <v>9.7410197206568312E-3</v>
      </c>
      <c r="BL90">
        <f t="shared" si="143"/>
        <v>4.3499999999999997E-3</v>
      </c>
      <c r="BM90">
        <f t="shared" si="144"/>
        <v>5.2980497606972589E-6</v>
      </c>
      <c r="BN90">
        <f t="shared" si="145"/>
        <v>5.1005696795587474E-2</v>
      </c>
      <c r="BO90" s="147">
        <f t="shared" si="164"/>
        <v>51.005696795587475</v>
      </c>
      <c r="BP90" s="153">
        <f t="shared" si="146"/>
        <v>8.3392715804730594E-2</v>
      </c>
      <c r="BQ90" s="153">
        <f t="shared" si="147"/>
        <v>8.3525934101790766E-2</v>
      </c>
      <c r="BR90" s="463"/>
      <c r="BT90" s="147">
        <f t="shared" si="165"/>
        <v>166.91864990652135</v>
      </c>
      <c r="BU90" s="463">
        <f t="shared" si="148"/>
        <v>4.0135477835859537E-2</v>
      </c>
      <c r="BV90" s="463">
        <f t="shared" si="149"/>
        <v>6.6652769377919613E-2</v>
      </c>
      <c r="BW90" s="463">
        <f t="shared" si="150"/>
        <v>3.3413569438344734E-3</v>
      </c>
      <c r="BX90" s="463">
        <f t="shared" si="151"/>
        <v>0</v>
      </c>
      <c r="BY90" s="463">
        <f t="shared" si="152"/>
        <v>0.12444153239278198</v>
      </c>
      <c r="BZ90" s="463">
        <f t="shared" si="166"/>
        <v>0.11012960415761362</v>
      </c>
      <c r="CA90" s="549">
        <f t="shared" si="153"/>
        <v>3.3946166855774555E-2</v>
      </c>
      <c r="CB90" s="147">
        <f t="shared" si="167"/>
        <v>158.38769924855652</v>
      </c>
      <c r="CC90" s="153">
        <f t="shared" si="168"/>
        <v>0.37631204595066536</v>
      </c>
      <c r="CD90" s="5">
        <f t="shared" si="169"/>
        <v>2.6350000000000002</v>
      </c>
      <c r="CE90" s="153">
        <f t="shared" si="170"/>
        <v>0.87503385892647856</v>
      </c>
      <c r="CF90" s="5">
        <f t="shared" si="171"/>
        <v>87.503385892647856</v>
      </c>
      <c r="CG90">
        <f t="shared" si="172"/>
        <v>85</v>
      </c>
      <c r="CI90" s="59">
        <f t="shared" si="154"/>
        <v>-50</v>
      </c>
      <c r="CJ90">
        <f t="shared" si="155"/>
        <v>-50</v>
      </c>
    </row>
    <row r="91" spans="5:88" x14ac:dyDescent="0.25">
      <c r="E91" s="150">
        <v>86</v>
      </c>
      <c r="F91" s="191">
        <f t="shared" si="173"/>
        <v>8.6000000000000007E-2</v>
      </c>
      <c r="G91" s="191">
        <f t="shared" si="156"/>
        <v>8.6000000000000007E-2</v>
      </c>
      <c r="H91" s="191">
        <f t="shared" si="105"/>
        <v>1.29</v>
      </c>
      <c r="I91" s="191">
        <f t="shared" si="174"/>
        <v>1.3760000000000001</v>
      </c>
      <c r="J91" s="472">
        <f t="shared" si="106"/>
        <v>15</v>
      </c>
      <c r="K91" s="386">
        <f t="shared" si="107"/>
        <v>14.712151385471696</v>
      </c>
      <c r="L91" s="386">
        <f t="shared" si="108"/>
        <v>30.32</v>
      </c>
      <c r="M91" s="386"/>
      <c r="N91" s="191">
        <f t="shared" si="109"/>
        <v>0.50527704485488123</v>
      </c>
      <c r="O91" s="152">
        <f t="shared" si="157"/>
        <v>1.237725019150566</v>
      </c>
      <c r="P91" s="152">
        <f t="shared" si="110"/>
        <v>2.7284960422163587</v>
      </c>
      <c r="Q91" s="191">
        <f t="shared" si="111"/>
        <v>8.25150012767044E-2</v>
      </c>
      <c r="R91" s="191">
        <f t="shared" si="112"/>
        <v>7.7357813696910374E-2</v>
      </c>
      <c r="S91" s="386">
        <f t="shared" si="113"/>
        <v>14.392151385471696</v>
      </c>
      <c r="T91" s="191">
        <f t="shared" si="114"/>
        <v>0.75</v>
      </c>
      <c r="U91" s="191">
        <f t="shared" si="115"/>
        <v>2.35</v>
      </c>
      <c r="V91" s="191">
        <f t="shared" si="116"/>
        <v>2.3959786081870735</v>
      </c>
      <c r="W91" s="175">
        <f t="shared" si="117"/>
        <v>350</v>
      </c>
      <c r="X91" s="386">
        <f t="shared" si="158"/>
        <v>210.7047002434746</v>
      </c>
      <c r="Z91" s="191">
        <f t="shared" si="118"/>
        <v>0.45151007195030274</v>
      </c>
      <c r="AA91" s="153">
        <f t="shared" si="119"/>
        <v>1.4424112983652424</v>
      </c>
      <c r="AB91" s="153">
        <f t="shared" si="120"/>
        <v>0.11397106509369354</v>
      </c>
      <c r="AC91" s="153"/>
      <c r="AD91" s="153">
        <f t="shared" si="121"/>
        <v>0.4791957216374147</v>
      </c>
      <c r="AE91" s="317">
        <f t="shared" si="122"/>
        <v>2392.8983813722289</v>
      </c>
      <c r="AF91" s="463">
        <f t="shared" si="123"/>
        <v>1.2578887692982136E-2</v>
      </c>
      <c r="AH91" s="153">
        <f t="shared" si="124"/>
        <v>0.56932744409682534</v>
      </c>
      <c r="AI91" s="153">
        <f t="shared" si="125"/>
        <v>0.56932744409682534</v>
      </c>
      <c r="AJ91" s="153">
        <f t="shared" si="126"/>
        <v>1.5106129215532038</v>
      </c>
      <c r="AL91" s="317">
        <f t="shared" si="127"/>
        <v>86</v>
      </c>
      <c r="AM91" s="147">
        <f t="shared" si="128"/>
        <v>210.7047002434746</v>
      </c>
      <c r="AO91" t="str">
        <f t="shared" si="159"/>
        <v/>
      </c>
      <c r="AP91" t="str">
        <f t="shared" si="129"/>
        <v/>
      </c>
      <c r="AR91" s="5">
        <f t="shared" si="160"/>
        <v>4.7459786081870732</v>
      </c>
      <c r="AS91" s="5">
        <f t="shared" si="130"/>
        <v>1.7838926581700525</v>
      </c>
      <c r="AT91" s="5">
        <f t="shared" si="161"/>
        <v>2.9620859500170207</v>
      </c>
      <c r="AU91" s="153">
        <f t="shared" si="162"/>
        <v>0.375874567806256</v>
      </c>
      <c r="AW91" s="5">
        <f t="shared" si="131"/>
        <v>0.96692791308641945</v>
      </c>
      <c r="AX91" s="5">
        <f t="shared" si="132"/>
        <v>10.985098267780739</v>
      </c>
      <c r="AY91" s="5">
        <f t="shared" si="133"/>
        <v>0.96440494504700414</v>
      </c>
      <c r="AZ91" s="5">
        <f t="shared" si="134"/>
        <v>5.3594465262310127</v>
      </c>
      <c r="BA91" s="5">
        <f t="shared" si="135"/>
        <v>0.77994282891312372</v>
      </c>
      <c r="BB91" s="147">
        <f t="shared" si="136"/>
        <v>59.088156612928728</v>
      </c>
      <c r="BC91" s="5"/>
      <c r="BD91" s="153">
        <f t="shared" si="163"/>
        <v>0.20152223112135501</v>
      </c>
      <c r="BE91" s="153">
        <f t="shared" si="137"/>
        <v>0.25967935978396978</v>
      </c>
      <c r="BF91" s="153">
        <f t="shared" si="138"/>
        <v>0.26001880992747828</v>
      </c>
      <c r="BG91" s="153"/>
      <c r="BH91" s="463">
        <f t="shared" si="139"/>
        <v>1.4213923372645088E-2</v>
      </c>
      <c r="BI91" s="463">
        <f t="shared" si="140"/>
        <v>1.8185931216838858E-2</v>
      </c>
      <c r="BJ91" s="463">
        <f t="shared" si="141"/>
        <v>2.6338087530434324E-3</v>
      </c>
      <c r="BK91" s="463">
        <f t="shared" si="142"/>
        <v>9.6850668312553397E-3</v>
      </c>
      <c r="BL91">
        <f t="shared" si="143"/>
        <v>4.3499999999999997E-3</v>
      </c>
      <c r="BM91">
        <f t="shared" si="144"/>
        <v>5.2676175060868649E-6</v>
      </c>
      <c r="BN91">
        <f t="shared" si="145"/>
        <v>5.1126956297507881E-2</v>
      </c>
      <c r="BO91" s="147">
        <f t="shared" si="164"/>
        <v>51.126956297507881</v>
      </c>
      <c r="BP91" s="153">
        <f t="shared" si="146"/>
        <v>8.4371094601928695E-2</v>
      </c>
      <c r="BQ91" s="153">
        <f t="shared" si="147"/>
        <v>8.4505873078301999E-2</v>
      </c>
      <c r="BR91" s="463"/>
      <c r="BT91" s="147">
        <f t="shared" si="165"/>
        <v>168.87696768023071</v>
      </c>
      <c r="BU91" s="463">
        <f t="shared" si="148"/>
        <v>4.0611209636128826E-2</v>
      </c>
      <c r="BV91" s="463">
        <f t="shared" si="149"/>
        <v>6.7433369897812415E-2</v>
      </c>
      <c r="BW91" s="463">
        <f t="shared" si="150"/>
        <v>3.3804890758051039E-3</v>
      </c>
      <c r="BX91" s="463">
        <f t="shared" si="151"/>
        <v>0</v>
      </c>
      <c r="BY91" s="463">
        <f t="shared" si="152"/>
        <v>0.12591851517835476</v>
      </c>
      <c r="BZ91" s="463">
        <f t="shared" si="166"/>
        <v>0.11142506860974634</v>
      </c>
      <c r="CA91" s="549">
        <f t="shared" si="153"/>
        <v>3.4148251115447018E-2</v>
      </c>
      <c r="CB91" s="147">
        <f t="shared" si="167"/>
        <v>160.06676629380178</v>
      </c>
      <c r="CC91" s="153">
        <f t="shared" si="168"/>
        <v>0.38007069027154033</v>
      </c>
      <c r="CD91" s="5">
        <f t="shared" si="169"/>
        <v>2.6660000000000004</v>
      </c>
      <c r="CE91" s="153">
        <f t="shared" si="170"/>
        <v>0.87522591268633398</v>
      </c>
      <c r="CF91" s="5">
        <f t="shared" si="171"/>
        <v>87.522591268633391</v>
      </c>
      <c r="CG91">
        <f t="shared" si="172"/>
        <v>86</v>
      </c>
      <c r="CI91" s="59">
        <f t="shared" si="154"/>
        <v>-50</v>
      </c>
      <c r="CJ91">
        <f t="shared" si="155"/>
        <v>-50</v>
      </c>
    </row>
    <row r="92" spans="5:88" x14ac:dyDescent="0.25">
      <c r="E92" s="150">
        <v>87</v>
      </c>
      <c r="F92" s="191">
        <f t="shared" si="173"/>
        <v>8.7000000000000008E-2</v>
      </c>
      <c r="G92" s="191">
        <f t="shared" si="156"/>
        <v>8.7000000000000008E-2</v>
      </c>
      <c r="H92" s="191">
        <f t="shared" si="105"/>
        <v>1.3050000000000002</v>
      </c>
      <c r="I92" s="191">
        <f t="shared" si="174"/>
        <v>1.3920000000000001</v>
      </c>
      <c r="J92" s="472">
        <f t="shared" si="106"/>
        <v>15</v>
      </c>
      <c r="K92" s="386">
        <f t="shared" si="107"/>
        <v>14.546724358052481</v>
      </c>
      <c r="L92" s="386">
        <f t="shared" si="108"/>
        <v>30.32</v>
      </c>
      <c r="M92" s="386"/>
      <c r="N92" s="191">
        <f t="shared" si="109"/>
        <v>0.50527704485488123</v>
      </c>
      <c r="O92" s="152">
        <f t="shared" si="157"/>
        <v>1.237725019150566</v>
      </c>
      <c r="P92" s="152">
        <f t="shared" si="110"/>
        <v>2.7284960422163587</v>
      </c>
      <c r="Q92" s="191">
        <f t="shared" si="111"/>
        <v>8.25150012767044E-2</v>
      </c>
      <c r="R92" s="191">
        <f t="shared" si="112"/>
        <v>7.7357813696910374E-2</v>
      </c>
      <c r="S92" s="386">
        <f t="shared" si="113"/>
        <v>14.226724358052481</v>
      </c>
      <c r="T92" s="191">
        <f t="shared" si="114"/>
        <v>0.75</v>
      </c>
      <c r="U92" s="191">
        <f t="shared" si="115"/>
        <v>2.35</v>
      </c>
      <c r="V92" s="191">
        <f t="shared" si="116"/>
        <v>2.4232259533045335</v>
      </c>
      <c r="W92" s="175">
        <f t="shared" si="117"/>
        <v>350</v>
      </c>
      <c r="X92" s="386">
        <f t="shared" si="158"/>
        <v>209.50191962056473</v>
      </c>
      <c r="Z92" s="191">
        <f t="shared" si="118"/>
        <v>0.44893268490121024</v>
      </c>
      <c r="AA92" s="153">
        <f t="shared" si="119"/>
        <v>1.4504871111190651</v>
      </c>
      <c r="AB92" s="153">
        <f t="shared" si="120"/>
        <v>0.11395493781162434</v>
      </c>
      <c r="AC92" s="153"/>
      <c r="AD92" s="153">
        <f t="shared" si="121"/>
        <v>0.48464519066090667</v>
      </c>
      <c r="AE92" s="317">
        <f t="shared" si="122"/>
        <v>2393.503582317855</v>
      </c>
      <c r="AF92" s="463">
        <f t="shared" si="123"/>
        <v>1.2721936254848801E-2</v>
      </c>
      <c r="AH92" s="153">
        <f t="shared" si="124"/>
        <v>0.57262792069747182</v>
      </c>
      <c r="AI92" s="153">
        <f t="shared" si="125"/>
        <v>0.57262792069747182</v>
      </c>
      <c r="AJ92" s="153">
        <f t="shared" si="126"/>
        <v>1.5130577190351642</v>
      </c>
      <c r="AL92" s="317">
        <f t="shared" si="127"/>
        <v>87.000000000000014</v>
      </c>
      <c r="AM92" s="147">
        <f t="shared" si="128"/>
        <v>209.50191962056473</v>
      </c>
      <c r="AO92" t="str">
        <f t="shared" si="159"/>
        <v/>
      </c>
      <c r="AP92" t="str">
        <f t="shared" si="129"/>
        <v/>
      </c>
      <c r="AR92" s="5">
        <f t="shared" si="160"/>
        <v>4.773225953304534</v>
      </c>
      <c r="AS92" s="5">
        <f t="shared" si="130"/>
        <v>1.7942341515187448</v>
      </c>
      <c r="AT92" s="5">
        <f t="shared" si="161"/>
        <v>2.9789918017857895</v>
      </c>
      <c r="AU92" s="153">
        <f t="shared" si="162"/>
        <v>0.37589549899195224</v>
      </c>
      <c r="AW92" s="5">
        <f t="shared" si="131"/>
        <v>0.96692791308641945</v>
      </c>
      <c r="AX92" s="5">
        <f t="shared" si="132"/>
        <v>11.239016061226662</v>
      </c>
      <c r="AY92" s="5">
        <f t="shared" si="133"/>
        <v>0.96440494504700414</v>
      </c>
      <c r="AZ92" s="5">
        <f t="shared" si="134"/>
        <v>5.4827862029532897</v>
      </c>
      <c r="BA92" s="5">
        <f t="shared" si="135"/>
        <v>0.79351514957197766</v>
      </c>
      <c r="BB92" s="147">
        <f t="shared" si="136"/>
        <v>60.112969551231657</v>
      </c>
      <c r="BC92" s="5"/>
      <c r="BD92" s="153">
        <f t="shared" si="163"/>
        <v>0.20269612922222657</v>
      </c>
      <c r="BE92" s="153">
        <f t="shared" si="137"/>
        <v>0.261180380297659</v>
      </c>
      <c r="BF92" s="153">
        <f t="shared" si="138"/>
        <v>0.26152179255948599</v>
      </c>
      <c r="BG92" s="153"/>
      <c r="BH92" s="463">
        <f t="shared" si="139"/>
        <v>1.438000228058575E-2</v>
      </c>
      <c r="BI92" s="463">
        <f t="shared" si="140"/>
        <v>1.8186943929951054E-2</v>
      </c>
      <c r="BJ92" s="463">
        <f t="shared" si="141"/>
        <v>2.6187739952570586E-3</v>
      </c>
      <c r="BK92" s="463">
        <f t="shared" si="142"/>
        <v>9.6297808755896122E-3</v>
      </c>
      <c r="BL92">
        <f t="shared" si="143"/>
        <v>4.3499999999999997E-3</v>
      </c>
      <c r="BM92">
        <f t="shared" si="144"/>
        <v>5.2375479905141177E-6</v>
      </c>
      <c r="BN92">
        <f t="shared" si="145"/>
        <v>5.1248005554834178E-2</v>
      </c>
      <c r="BO92" s="147">
        <f t="shared" si="164"/>
        <v>51.24800555483418</v>
      </c>
      <c r="BP92" s="153">
        <f t="shared" si="146"/>
        <v>8.5350405964056353E-2</v>
      </c>
      <c r="BQ92" s="153">
        <f t="shared" si="147"/>
        <v>8.5486747059414489E-2</v>
      </c>
      <c r="BR92" s="463"/>
      <c r="BT92" s="147">
        <f t="shared" si="165"/>
        <v>170.83715302347085</v>
      </c>
      <c r="BU92" s="463">
        <f t="shared" si="148"/>
        <v>4.1085720801673574E-2</v>
      </c>
      <c r="BV92" s="463">
        <f t="shared" si="149"/>
        <v>6.8215191052429777E-2</v>
      </c>
      <c r="BW92" s="463">
        <f t="shared" si="150"/>
        <v>3.4196823991763411E-3</v>
      </c>
      <c r="BX92" s="463">
        <f t="shared" si="151"/>
        <v>0</v>
      </c>
      <c r="BY92" s="463">
        <f t="shared" si="152"/>
        <v>0.12739587667763491</v>
      </c>
      <c r="BZ92" s="463">
        <f t="shared" si="166"/>
        <v>0.11272059425327968</v>
      </c>
      <c r="CA92" s="549">
        <f t="shared" si="153"/>
        <v>3.43481262745692E-2</v>
      </c>
      <c r="CB92" s="147">
        <f t="shared" si="167"/>
        <v>161.74400295220411</v>
      </c>
      <c r="CC92" s="153">
        <f t="shared" si="168"/>
        <v>0.38382916153050911</v>
      </c>
      <c r="CD92" s="5">
        <f t="shared" si="169"/>
        <v>2.6970000000000001</v>
      </c>
      <c r="CE92" s="153">
        <f t="shared" si="170"/>
        <v>0.87541368202973369</v>
      </c>
      <c r="CF92" s="5">
        <f t="shared" si="171"/>
        <v>87.541368202973374</v>
      </c>
      <c r="CG92">
        <f t="shared" si="172"/>
        <v>87</v>
      </c>
      <c r="CI92" s="59">
        <f t="shared" si="154"/>
        <v>-50</v>
      </c>
      <c r="CJ92">
        <f t="shared" si="155"/>
        <v>-50</v>
      </c>
    </row>
    <row r="93" spans="5:88" x14ac:dyDescent="0.25">
      <c r="E93" s="150">
        <v>88</v>
      </c>
      <c r="F93" s="191">
        <f t="shared" si="173"/>
        <v>8.8000000000000009E-2</v>
      </c>
      <c r="G93" s="191">
        <f t="shared" si="156"/>
        <v>8.8000000000000009E-2</v>
      </c>
      <c r="H93" s="191">
        <f t="shared" si="105"/>
        <v>1.32</v>
      </c>
      <c r="I93" s="191">
        <f t="shared" si="174"/>
        <v>1.4080000000000001</v>
      </c>
      <c r="J93" s="472">
        <f t="shared" si="106"/>
        <v>15</v>
      </c>
      <c r="K93" s="386">
        <f t="shared" si="107"/>
        <v>14.385057035801886</v>
      </c>
      <c r="L93" s="386">
        <f t="shared" si="108"/>
        <v>30.32</v>
      </c>
      <c r="M93" s="386"/>
      <c r="N93" s="191">
        <f t="shared" si="109"/>
        <v>0.50527704485488123</v>
      </c>
      <c r="O93" s="152">
        <f t="shared" si="157"/>
        <v>1.237725019150566</v>
      </c>
      <c r="P93" s="152">
        <f t="shared" si="110"/>
        <v>2.7284960422163587</v>
      </c>
      <c r="Q93" s="191">
        <f t="shared" si="111"/>
        <v>8.25150012767044E-2</v>
      </c>
      <c r="R93" s="191">
        <f t="shared" si="112"/>
        <v>7.7357813696910374E-2</v>
      </c>
      <c r="S93" s="386">
        <f t="shared" si="113"/>
        <v>14.065057035801885</v>
      </c>
      <c r="T93" s="191">
        <f t="shared" si="114"/>
        <v>0.75</v>
      </c>
      <c r="U93" s="191">
        <f t="shared" si="115"/>
        <v>2.35</v>
      </c>
      <c r="V93" s="191">
        <f t="shared" si="116"/>
        <v>2.4504595228415798</v>
      </c>
      <c r="W93" s="175">
        <f t="shared" si="117"/>
        <v>350</v>
      </c>
      <c r="X93" s="386">
        <f t="shared" si="158"/>
        <v>208.31339067474542</v>
      </c>
      <c r="Z93" s="191">
        <f t="shared" si="118"/>
        <v>0.44638583716016877</v>
      </c>
      <c r="AA93" s="153">
        <f t="shared" si="119"/>
        <v>1.458467234040995</v>
      </c>
      <c r="AB93" s="153">
        <f t="shared" si="120"/>
        <v>0.11393184551666144</v>
      </c>
      <c r="AC93" s="153"/>
      <c r="AD93" s="153">
        <f t="shared" si="121"/>
        <v>0.49009190456831597</v>
      </c>
      <c r="AE93" s="317">
        <f t="shared" si="122"/>
        <v>2394.1087832634821</v>
      </c>
      <c r="AF93" s="463">
        <f t="shared" si="123"/>
        <v>1.2864912494918293E-2</v>
      </c>
      <c r="AH93" s="153">
        <f t="shared" si="124"/>
        <v>0.57590948292487454</v>
      </c>
      <c r="AI93" s="153">
        <f t="shared" si="125"/>
        <v>0.57590948292487454</v>
      </c>
      <c r="AJ93" s="153">
        <f t="shared" si="126"/>
        <v>1.5154885058702774</v>
      </c>
      <c r="AL93" s="317">
        <f t="shared" si="127"/>
        <v>88.000000000000014</v>
      </c>
      <c r="AM93" s="147">
        <f t="shared" si="128"/>
        <v>208.31339067474542</v>
      </c>
      <c r="AO93" t="str">
        <f t="shared" si="159"/>
        <v/>
      </c>
      <c r="AP93" t="str">
        <f t="shared" si="129"/>
        <v/>
      </c>
      <c r="AR93" s="5">
        <f t="shared" si="160"/>
        <v>4.8004595228415798</v>
      </c>
      <c r="AS93" s="5">
        <f t="shared" si="130"/>
        <v>1.8045163798312736</v>
      </c>
      <c r="AT93" s="5">
        <f t="shared" si="161"/>
        <v>2.9959431430103063</v>
      </c>
      <c r="AU93" s="153">
        <f t="shared" si="162"/>
        <v>0.37590492561076938</v>
      </c>
      <c r="AW93" s="5">
        <f t="shared" si="131"/>
        <v>0.96692791308641945</v>
      </c>
      <c r="AX93" s="5">
        <f t="shared" si="132"/>
        <v>11.49583463841185</v>
      </c>
      <c r="AY93" s="5">
        <f t="shared" si="133"/>
        <v>0.96440494504700414</v>
      </c>
      <c r="AZ93" s="5">
        <f t="shared" si="134"/>
        <v>5.6075286505047277</v>
      </c>
      <c r="BA93" s="5">
        <f t="shared" si="135"/>
        <v>0.80720324880317185</v>
      </c>
      <c r="BB93" s="147">
        <f t="shared" si="136"/>
        <v>61.146465882460113</v>
      </c>
      <c r="BC93" s="5"/>
      <c r="BD93" s="153">
        <f t="shared" si="163"/>
        <v>0.20386027726621711</v>
      </c>
      <c r="BE93" s="153">
        <f t="shared" si="137"/>
        <v>0.2626751444792722</v>
      </c>
      <c r="BF93" s="153">
        <f t="shared" si="138"/>
        <v>0.26301851068120591</v>
      </c>
      <c r="BG93" s="153"/>
      <c r="BH93" s="463">
        <f t="shared" si="139"/>
        <v>1.4545654426470621E-2</v>
      </c>
      <c r="BI93" s="463">
        <f t="shared" si="140"/>
        <v>1.8187400017848715E-2</v>
      </c>
      <c r="BJ93" s="463">
        <f t="shared" si="141"/>
        <v>2.6039173834343176E-3</v>
      </c>
      <c r="BK93" s="463">
        <f t="shared" si="142"/>
        <v>9.575149999971555E-3</v>
      </c>
      <c r="BL93">
        <f t="shared" si="143"/>
        <v>4.3499999999999997E-3</v>
      </c>
      <c r="BM93">
        <f t="shared" si="144"/>
        <v>5.2078347668686353E-6</v>
      </c>
      <c r="BN93">
        <f t="shared" si="145"/>
        <v>5.1368850218854005E-2</v>
      </c>
      <c r="BO93" s="147">
        <f t="shared" si="164"/>
        <v>51.368850218854007</v>
      </c>
      <c r="BP93" s="153">
        <f t="shared" si="146"/>
        <v>8.633064888678578E-2</v>
      </c>
      <c r="BQ93" s="153">
        <f t="shared" si="147"/>
        <v>8.6468555038173162E-2</v>
      </c>
      <c r="BR93" s="463"/>
      <c r="BT93" s="147">
        <f t="shared" si="165"/>
        <v>172.79920392495896</v>
      </c>
      <c r="BU93" s="463">
        <f t="shared" si="148"/>
        <v>4.155901264705892E-2</v>
      </c>
      <c r="BV93" s="463">
        <f t="shared" si="149"/>
        <v>6.8998231527206522E-2</v>
      </c>
      <c r="BW93" s="463">
        <f t="shared" si="150"/>
        <v>3.4589368480479814E-3</v>
      </c>
      <c r="BX93" s="463">
        <f t="shared" si="151"/>
        <v>0</v>
      </c>
      <c r="BY93" s="463">
        <f t="shared" si="152"/>
        <v>0.12887361695618113</v>
      </c>
      <c r="BZ93" s="463">
        <f t="shared" si="166"/>
        <v>0.11401618102231341</v>
      </c>
      <c r="CA93" s="549">
        <f t="shared" si="153"/>
        <v>3.4545831596395474E-2</v>
      </c>
      <c r="CB93" s="147">
        <f t="shared" si="167"/>
        <v>163.41944855257663</v>
      </c>
      <c r="CC93" s="153">
        <f t="shared" si="168"/>
        <v>0.38758750269638953</v>
      </c>
      <c r="CD93" s="5">
        <f t="shared" si="169"/>
        <v>2.7280000000000002</v>
      </c>
      <c r="CE93" s="153">
        <f t="shared" si="170"/>
        <v>0.87559729830699617</v>
      </c>
      <c r="CF93" s="5">
        <f t="shared" si="171"/>
        <v>87.559729830699624</v>
      </c>
      <c r="CG93">
        <f t="shared" si="172"/>
        <v>88</v>
      </c>
      <c r="CI93" s="59">
        <f t="shared" si="154"/>
        <v>-50</v>
      </c>
      <c r="CJ93">
        <f t="shared" si="155"/>
        <v>-50</v>
      </c>
    </row>
    <row r="94" spans="5:88" x14ac:dyDescent="0.25">
      <c r="E94" s="150">
        <v>89</v>
      </c>
      <c r="F94" s="191">
        <f t="shared" si="173"/>
        <v>8.900000000000001E-2</v>
      </c>
      <c r="G94" s="191">
        <f t="shared" si="156"/>
        <v>8.900000000000001E-2</v>
      </c>
      <c r="H94" s="191">
        <f t="shared" si="105"/>
        <v>1.3350000000000002</v>
      </c>
      <c r="I94" s="191">
        <f t="shared" si="174"/>
        <v>1.4240000000000002</v>
      </c>
      <c r="J94" s="472">
        <f t="shared" si="106"/>
        <v>15</v>
      </c>
      <c r="K94" s="386">
        <f t="shared" si="107"/>
        <v>14.227022687085009</v>
      </c>
      <c r="L94" s="386">
        <f t="shared" si="108"/>
        <v>30.32</v>
      </c>
      <c r="M94" s="386"/>
      <c r="N94" s="191">
        <f t="shared" si="109"/>
        <v>0.50527704485488123</v>
      </c>
      <c r="O94" s="152">
        <f t="shared" si="157"/>
        <v>1.237725019150566</v>
      </c>
      <c r="P94" s="152">
        <f t="shared" si="110"/>
        <v>2.7284960422163587</v>
      </c>
      <c r="Q94" s="191">
        <f t="shared" si="111"/>
        <v>8.25150012767044E-2</v>
      </c>
      <c r="R94" s="191">
        <f t="shared" si="112"/>
        <v>7.7357813696910374E-2</v>
      </c>
      <c r="S94" s="386">
        <f t="shared" si="113"/>
        <v>13.907022687085009</v>
      </c>
      <c r="T94" s="191">
        <f t="shared" si="114"/>
        <v>0.75</v>
      </c>
      <c r="U94" s="191">
        <f t="shared" si="115"/>
        <v>2.35</v>
      </c>
      <c r="V94" s="191">
        <f t="shared" si="116"/>
        <v>2.4776793272424595</v>
      </c>
      <c r="W94" s="175">
        <f t="shared" si="117"/>
        <v>350</v>
      </c>
      <c r="X94" s="386">
        <f t="shared" si="158"/>
        <v>207.13886159692254</v>
      </c>
      <c r="Z94" s="191">
        <f t="shared" si="118"/>
        <v>0.44386898913626255</v>
      </c>
      <c r="AA94" s="153">
        <f t="shared" si="119"/>
        <v>1.4663533578492343</v>
      </c>
      <c r="AB94" s="153">
        <f t="shared" si="120"/>
        <v>0.11390203696639317</v>
      </c>
      <c r="AC94" s="153"/>
      <c r="AD94" s="153">
        <f t="shared" si="121"/>
        <v>0.49553586544849193</v>
      </c>
      <c r="AE94" s="317">
        <f t="shared" si="122"/>
        <v>2394.7139842091087</v>
      </c>
      <c r="AF94" s="463">
        <f t="shared" si="123"/>
        <v>1.3007816468022912E-2</v>
      </c>
      <c r="AH94" s="153">
        <f t="shared" si="124"/>
        <v>0.57917245228280911</v>
      </c>
      <c r="AI94" s="153">
        <f t="shared" si="125"/>
        <v>0.57917245228280911</v>
      </c>
      <c r="AJ94" s="153">
        <f t="shared" si="126"/>
        <v>1.5179055202094882</v>
      </c>
      <c r="AL94" s="317">
        <f t="shared" si="127"/>
        <v>89.000000000000014</v>
      </c>
      <c r="AM94" s="147">
        <f t="shared" si="128"/>
        <v>207.13886159692254</v>
      </c>
      <c r="AO94" t="str">
        <f t="shared" si="159"/>
        <v/>
      </c>
      <c r="AP94" t="str">
        <f t="shared" si="129"/>
        <v/>
      </c>
      <c r="AR94" s="5">
        <f t="shared" si="160"/>
        <v>4.8276793272424605</v>
      </c>
      <c r="AS94" s="5">
        <f t="shared" si="130"/>
        <v>1.814740350486135</v>
      </c>
      <c r="AT94" s="5">
        <f t="shared" si="161"/>
        <v>3.0129389767563257</v>
      </c>
      <c r="AU94" s="153">
        <f t="shared" si="162"/>
        <v>0.37590325029369814</v>
      </c>
      <c r="AW94" s="5">
        <f t="shared" si="131"/>
        <v>0.96692791308641945</v>
      </c>
      <c r="AX94" s="5">
        <f t="shared" si="132"/>
        <v>11.755553999336291</v>
      </c>
      <c r="AY94" s="5">
        <f t="shared" si="133"/>
        <v>0.96440494504700414</v>
      </c>
      <c r="AZ94" s="5">
        <f t="shared" si="134"/>
        <v>5.7336738688853224</v>
      </c>
      <c r="BA94" s="5">
        <f t="shared" si="135"/>
        <v>0.82100727277735341</v>
      </c>
      <c r="BB94" s="147">
        <f t="shared" si="136"/>
        <v>62.188656569412615</v>
      </c>
      <c r="BC94" s="5"/>
      <c r="BD94" s="153">
        <f t="shared" si="163"/>
        <v>0.20501484539227491</v>
      </c>
      <c r="BE94" s="153">
        <f t="shared" si="137"/>
        <v>0.26416375539276621</v>
      </c>
      <c r="BF94" s="153">
        <f t="shared" si="138"/>
        <v>0.26450906749131886</v>
      </c>
      <c r="BG94" s="153"/>
      <c r="BH94" s="463">
        <f t="shared" si="139"/>
        <v>1.4710880390926433E-2</v>
      </c>
      <c r="BI94" s="463">
        <f t="shared" si="140"/>
        <v>1.8187318961018509E-2</v>
      </c>
      <c r="BJ94" s="463">
        <f t="shared" si="141"/>
        <v>2.5892357699615317E-3</v>
      </c>
      <c r="BK94" s="463">
        <f t="shared" si="142"/>
        <v>9.521162629965935E-3</v>
      </c>
      <c r="BL94">
        <f t="shared" si="143"/>
        <v>4.3499999999999997E-3</v>
      </c>
      <c r="BM94">
        <f t="shared" si="144"/>
        <v>5.1784715399230633E-6</v>
      </c>
      <c r="BN94">
        <f t="shared" si="145"/>
        <v>5.148949567354616E-2</v>
      </c>
      <c r="BO94" s="147">
        <f t="shared" si="164"/>
        <v>51.489495673546159</v>
      </c>
      <c r="BP94" s="153">
        <f t="shared" si="146"/>
        <v>8.7311822102691866E-2</v>
      </c>
      <c r="BQ94" s="153">
        <f t="shared" si="147"/>
        <v>8.7451295743837115E-2</v>
      </c>
      <c r="BR94" s="463"/>
      <c r="BT94" s="147">
        <f t="shared" si="165"/>
        <v>174.76311784652898</v>
      </c>
      <c r="BU94" s="463">
        <f t="shared" si="148"/>
        <v>4.2031086831218381E-2</v>
      </c>
      <c r="BV94" s="463">
        <f t="shared" si="149"/>
        <v>6.9782489663209213E-2</v>
      </c>
      <c r="BW94" s="463">
        <f t="shared" si="150"/>
        <v>3.4982523392563542E-3</v>
      </c>
      <c r="BX94" s="463">
        <f t="shared" si="151"/>
        <v>0</v>
      </c>
      <c r="BY94" s="463">
        <f t="shared" si="152"/>
        <v>0.13035173605986272</v>
      </c>
      <c r="BZ94" s="463">
        <f t="shared" si="166"/>
        <v>0.11531182883368395</v>
      </c>
      <c r="CA94" s="549">
        <f t="shared" si="153"/>
        <v>3.474140541920423E-2</v>
      </c>
      <c r="CB94" s="147">
        <f t="shared" si="167"/>
        <v>165.09314147906696</v>
      </c>
      <c r="CC94" s="153">
        <f t="shared" si="168"/>
        <v>0.39134575499914209</v>
      </c>
      <c r="CD94" s="5">
        <f t="shared" si="169"/>
        <v>2.7590000000000003</v>
      </c>
      <c r="CE94" s="153">
        <f t="shared" si="170"/>
        <v>0.87577688754380911</v>
      </c>
      <c r="CF94" s="5">
        <f t="shared" si="171"/>
        <v>87.577688754380915</v>
      </c>
      <c r="CG94">
        <f t="shared" si="172"/>
        <v>89</v>
      </c>
      <c r="CI94" s="59">
        <f t="shared" si="154"/>
        <v>-50</v>
      </c>
      <c r="CJ94">
        <f t="shared" si="155"/>
        <v>-50</v>
      </c>
    </row>
    <row r="95" spans="5:88" x14ac:dyDescent="0.25">
      <c r="E95" s="150">
        <v>90</v>
      </c>
      <c r="F95" s="191">
        <f t="shared" si="173"/>
        <v>9.0000000000000011E-2</v>
      </c>
      <c r="G95" s="191">
        <f t="shared" si="156"/>
        <v>9.0000000000000011E-2</v>
      </c>
      <c r="H95" s="191">
        <f t="shared" si="105"/>
        <v>1.35</v>
      </c>
      <c r="I95" s="191">
        <f t="shared" si="174"/>
        <v>1.4400000000000002</v>
      </c>
      <c r="J95" s="472">
        <f t="shared" si="106"/>
        <v>15</v>
      </c>
      <c r="K95" s="386">
        <f t="shared" si="107"/>
        <v>14.072500212784066</v>
      </c>
      <c r="L95" s="386">
        <f t="shared" si="108"/>
        <v>30.32</v>
      </c>
      <c r="M95" s="386"/>
      <c r="N95" s="191">
        <f t="shared" si="109"/>
        <v>0.50527704485488123</v>
      </c>
      <c r="O95" s="152">
        <f t="shared" si="157"/>
        <v>1.237725019150566</v>
      </c>
      <c r="P95" s="152">
        <f t="shared" si="110"/>
        <v>2.7284960422163587</v>
      </c>
      <c r="Q95" s="191">
        <f t="shared" si="111"/>
        <v>8.25150012767044E-2</v>
      </c>
      <c r="R95" s="191">
        <f t="shared" si="112"/>
        <v>7.7357813696910374E-2</v>
      </c>
      <c r="S95" s="386">
        <f t="shared" si="113"/>
        <v>13.752500212784065</v>
      </c>
      <c r="T95" s="191">
        <f t="shared" si="114"/>
        <v>0.75</v>
      </c>
      <c r="U95" s="191">
        <f t="shared" si="115"/>
        <v>2.35</v>
      </c>
      <c r="V95" s="191">
        <f t="shared" si="116"/>
        <v>2.5048853769408637</v>
      </c>
      <c r="W95" s="175">
        <f t="shared" si="117"/>
        <v>350</v>
      </c>
      <c r="X95" s="386">
        <f t="shared" si="158"/>
        <v>205.97808647546589</v>
      </c>
      <c r="Z95" s="191">
        <f t="shared" si="118"/>
        <v>0.44138161387599834</v>
      </c>
      <c r="AA95" s="153">
        <f t="shared" si="119"/>
        <v>1.4741471336647292</v>
      </c>
      <c r="AB95" s="153">
        <f t="shared" si="120"/>
        <v>0.11386575216583267</v>
      </c>
      <c r="AC95" s="153"/>
      <c r="AD95" s="153">
        <f t="shared" si="121"/>
        <v>0.50097707538817271</v>
      </c>
      <c r="AE95" s="317">
        <f t="shared" si="122"/>
        <v>2395.3191851547349</v>
      </c>
      <c r="AF95" s="463">
        <f t="shared" si="123"/>
        <v>1.3150648228939533E-2</v>
      </c>
      <c r="AH95" s="153">
        <f t="shared" si="124"/>
        <v>0.58241714126884092</v>
      </c>
      <c r="AI95" s="153">
        <f t="shared" si="125"/>
        <v>0.58241714126884092</v>
      </c>
      <c r="AJ95" s="153">
        <f t="shared" si="126"/>
        <v>1.5203089935324747</v>
      </c>
      <c r="AL95" s="317">
        <f t="shared" si="127"/>
        <v>90.000000000000014</v>
      </c>
      <c r="AM95" s="147">
        <f t="shared" si="128"/>
        <v>205.97808647546589</v>
      </c>
      <c r="AO95" t="str">
        <f t="shared" si="159"/>
        <v/>
      </c>
      <c r="AP95" t="str">
        <f t="shared" si="129"/>
        <v/>
      </c>
      <c r="AR95" s="5">
        <f t="shared" si="160"/>
        <v>4.8548853769408638</v>
      </c>
      <c r="AS95" s="5">
        <f t="shared" si="130"/>
        <v>1.8249070426423681</v>
      </c>
      <c r="AT95" s="5">
        <f t="shared" si="161"/>
        <v>3.0299783342984954</v>
      </c>
      <c r="AU95" s="153">
        <f t="shared" si="162"/>
        <v>0.3758908606390764</v>
      </c>
      <c r="AW95" s="5">
        <f t="shared" si="131"/>
        <v>0.96692791308641945</v>
      </c>
      <c r="AX95" s="5">
        <f t="shared" si="132"/>
        <v>12.018174143999996</v>
      </c>
      <c r="AY95" s="5">
        <f t="shared" si="133"/>
        <v>0.96440494504700414</v>
      </c>
      <c r="AZ95" s="5">
        <f t="shared" si="134"/>
        <v>5.8612218580950781</v>
      </c>
      <c r="BA95" s="5">
        <f t="shared" si="135"/>
        <v>0.83492736322891881</v>
      </c>
      <c r="BB95" s="147">
        <f t="shared" si="136"/>
        <v>63.239552242168898</v>
      </c>
      <c r="BC95" s="5"/>
      <c r="BD95" s="153">
        <f t="shared" si="163"/>
        <v>0.20615999936141349</v>
      </c>
      <c r="BE95" s="153">
        <f t="shared" si="137"/>
        <v>0.26564631275041573</v>
      </c>
      <c r="BF95" s="153">
        <f t="shared" si="138"/>
        <v>0.26599356283244235</v>
      </c>
      <c r="BG95" s="153"/>
      <c r="BH95" s="463">
        <f t="shared" si="139"/>
        <v>1.4875680867844302E-2</v>
      </c>
      <c r="BI95" s="463">
        <f t="shared" si="140"/>
        <v>1.8186719512622549E-2</v>
      </c>
      <c r="BJ95" s="463">
        <f t="shared" si="141"/>
        <v>2.5747260809433235E-3</v>
      </c>
      <c r="BK95" s="463">
        <f t="shared" si="142"/>
        <v>9.4678074622151654E-3</v>
      </c>
      <c r="BL95">
        <f t="shared" si="143"/>
        <v>4.3499999999999997E-3</v>
      </c>
      <c r="BM95">
        <f t="shared" si="144"/>
        <v>5.149452161886647E-6</v>
      </c>
      <c r="BN95">
        <f t="shared" si="145"/>
        <v>5.1609947050251528E-2</v>
      </c>
      <c r="BO95" s="147">
        <f t="shared" si="164"/>
        <v>51.609947050251527</v>
      </c>
      <c r="BP95" s="153">
        <f t="shared" si="146"/>
        <v>8.8293924097109261E-2</v>
      </c>
      <c r="BQ95" s="153">
        <f t="shared" si="147"/>
        <v>8.8434967657778502E-2</v>
      </c>
      <c r="BR95" s="463"/>
      <c r="BT95" s="147">
        <f t="shared" si="165"/>
        <v>176.72889175488777</v>
      </c>
      <c r="BU95" s="463">
        <f t="shared" si="148"/>
        <v>4.2501945336698009E-2</v>
      </c>
      <c r="BV95" s="463">
        <f t="shared" si="149"/>
        <v>7.0567963477891682E-2</v>
      </c>
      <c r="BW95" s="463">
        <f t="shared" si="150"/>
        <v>3.5376287734148228E-3</v>
      </c>
      <c r="BX95" s="463">
        <f t="shared" si="151"/>
        <v>0</v>
      </c>
      <c r="BY95" s="463">
        <f t="shared" si="152"/>
        <v>0.13183023401602581</v>
      </c>
      <c r="BZ95" s="463">
        <f t="shared" si="166"/>
        <v>0.11660753758800452</v>
      </c>
      <c r="CA95" s="549">
        <f t="shared" si="153"/>
        <v>3.4934885183376896E-2</v>
      </c>
      <c r="CB95" s="147">
        <f t="shared" si="167"/>
        <v>166.7651191994027</v>
      </c>
      <c r="CC95" s="153">
        <f t="shared" si="168"/>
        <v>0.39510395800454201</v>
      </c>
      <c r="CD95" s="5">
        <f t="shared" si="169"/>
        <v>2.79</v>
      </c>
      <c r="CE95" s="153">
        <f t="shared" si="170"/>
        <v>0.87595257071229993</v>
      </c>
      <c r="CF95" s="5">
        <f t="shared" si="171"/>
        <v>87.595257071229994</v>
      </c>
      <c r="CG95">
        <f t="shared" si="172"/>
        <v>90</v>
      </c>
      <c r="CI95" s="59">
        <f t="shared" si="154"/>
        <v>-50</v>
      </c>
      <c r="CJ95">
        <f t="shared" si="155"/>
        <v>-50</v>
      </c>
    </row>
    <row r="96" spans="5:88" x14ac:dyDescent="0.25">
      <c r="E96" s="150">
        <v>91</v>
      </c>
      <c r="F96" s="191">
        <f t="shared" si="173"/>
        <v>9.1000000000000011E-2</v>
      </c>
      <c r="G96" s="191">
        <f t="shared" si="156"/>
        <v>9.1000000000000011E-2</v>
      </c>
      <c r="H96" s="191">
        <f t="shared" si="105"/>
        <v>1.3650000000000002</v>
      </c>
      <c r="I96" s="191">
        <f t="shared" si="174"/>
        <v>1.4560000000000002</v>
      </c>
      <c r="J96" s="472">
        <f t="shared" si="106"/>
        <v>15</v>
      </c>
      <c r="K96" s="386">
        <f t="shared" si="107"/>
        <v>13.921373836819406</v>
      </c>
      <c r="L96" s="386">
        <f t="shared" si="108"/>
        <v>30.32</v>
      </c>
      <c r="M96" s="386"/>
      <c r="N96" s="191">
        <f t="shared" si="109"/>
        <v>0.50527704485488123</v>
      </c>
      <c r="O96" s="152">
        <f t="shared" si="157"/>
        <v>1.237725019150566</v>
      </c>
      <c r="P96" s="152">
        <f t="shared" si="110"/>
        <v>2.7284960422163587</v>
      </c>
      <c r="Q96" s="191">
        <f t="shared" si="111"/>
        <v>8.25150012767044E-2</v>
      </c>
      <c r="R96" s="191">
        <f t="shared" si="112"/>
        <v>7.7357813696910374E-2</v>
      </c>
      <c r="S96" s="386">
        <f t="shared" si="113"/>
        <v>13.601373836819405</v>
      </c>
      <c r="T96" s="191">
        <f t="shared" si="114"/>
        <v>0.75</v>
      </c>
      <c r="U96" s="191">
        <f t="shared" si="115"/>
        <v>2.35</v>
      </c>
      <c r="V96" s="191">
        <f t="shared" si="116"/>
        <v>2.5320776823599407</v>
      </c>
      <c r="W96" s="175">
        <f t="shared" si="117"/>
        <v>350</v>
      </c>
      <c r="X96" s="386">
        <f t="shared" si="158"/>
        <v>204.83082512456284</v>
      </c>
      <c r="Z96" s="191">
        <f t="shared" si="118"/>
        <v>0.43892319669549174</v>
      </c>
      <c r="AA96" s="153">
        <f t="shared" si="119"/>
        <v>1.4818501741636496</v>
      </c>
      <c r="AB96" s="153">
        <f t="shared" si="120"/>
        <v>0.11382322270684404</v>
      </c>
      <c r="AC96" s="153"/>
      <c r="AD96" s="153">
        <f t="shared" si="121"/>
        <v>0.50641553647198811</v>
      </c>
      <c r="AE96" s="317">
        <f t="shared" si="122"/>
        <v>2395.9243861003615</v>
      </c>
      <c r="AF96" s="463">
        <f t="shared" si="123"/>
        <v>1.3293407832389689E-2</v>
      </c>
      <c r="AH96" s="153">
        <f t="shared" si="124"/>
        <v>0.58564385372362215</v>
      </c>
      <c r="AI96" s="153">
        <f t="shared" si="125"/>
        <v>0.58564385372362215</v>
      </c>
      <c r="AJ96" s="153">
        <f t="shared" si="126"/>
        <v>1.5226991509063867</v>
      </c>
      <c r="AL96" s="317">
        <f t="shared" si="127"/>
        <v>91.000000000000014</v>
      </c>
      <c r="AM96" s="147">
        <f t="shared" si="128"/>
        <v>204.83082512456284</v>
      </c>
      <c r="AO96" t="str">
        <f t="shared" si="159"/>
        <v/>
      </c>
      <c r="AP96" t="str">
        <f t="shared" si="129"/>
        <v/>
      </c>
      <c r="AR96" s="5">
        <f t="shared" si="160"/>
        <v>4.8820776823599408</v>
      </c>
      <c r="AS96" s="5">
        <f t="shared" si="130"/>
        <v>1.8350174083340161</v>
      </c>
      <c r="AT96" s="5">
        <f t="shared" si="161"/>
        <v>3.0470602740259247</v>
      </c>
      <c r="AU96" s="153">
        <f t="shared" si="162"/>
        <v>0.37586812986699336</v>
      </c>
      <c r="AW96" s="5">
        <f t="shared" si="131"/>
        <v>0.96692791308641945</v>
      </c>
      <c r="AX96" s="5">
        <f t="shared" si="132"/>
        <v>12.28369507240296</v>
      </c>
      <c r="AY96" s="5">
        <f t="shared" si="133"/>
        <v>0.96440494504700414</v>
      </c>
      <c r="AZ96" s="5">
        <f t="shared" si="134"/>
        <v>5.990172618133994</v>
      </c>
      <c r="BA96" s="5">
        <f t="shared" si="135"/>
        <v>0.8489636575829268</v>
      </c>
      <c r="BB96" s="147">
        <f t="shared" si="136"/>
        <v>64.299163207608416</v>
      </c>
      <c r="BC96" s="5"/>
      <c r="BD96" s="153">
        <f t="shared" si="163"/>
        <v>0.20729590070727902</v>
      </c>
      <c r="BE96" s="153">
        <f t="shared" si="137"/>
        <v>0.26712291306570779</v>
      </c>
      <c r="BF96" s="153">
        <f t="shared" si="138"/>
        <v>0.26747209334422506</v>
      </c>
      <c r="BG96" s="153"/>
      <c r="BH96" s="463">
        <f t="shared" si="139"/>
        <v>1.5040056657514728E-2</v>
      </c>
      <c r="BI96" s="463">
        <f t="shared" si="140"/>
        <v>1.8185619730160488E-2</v>
      </c>
      <c r="BJ96" s="463">
        <f t="shared" si="141"/>
        <v>2.5603853140570352E-3</v>
      </c>
      <c r="BK96" s="463">
        <f t="shared" si="142"/>
        <v>9.4150734565495459E-3</v>
      </c>
      <c r="BL96">
        <f t="shared" si="143"/>
        <v>4.3499999999999997E-3</v>
      </c>
      <c r="BM96">
        <f t="shared" si="144"/>
        <v>5.1207706281140707E-6</v>
      </c>
      <c r="BN96">
        <f t="shared" si="145"/>
        <v>5.1730209241446293E-2</v>
      </c>
      <c r="BO96" s="147">
        <f t="shared" si="164"/>
        <v>51.730209241446296</v>
      </c>
      <c r="BP96" s="153">
        <f t="shared" si="146"/>
        <v>8.9276953123118216E-2</v>
      </c>
      <c r="BQ96" s="153">
        <f t="shared" si="147"/>
        <v>8.9419569028507576E-2</v>
      </c>
      <c r="BR96" s="463"/>
      <c r="BT96" s="147">
        <f t="shared" si="165"/>
        <v>178.6965221516258</v>
      </c>
      <c r="BU96" s="463">
        <f t="shared" si="148"/>
        <v>4.2971590450042084E-2</v>
      </c>
      <c r="BV96" s="463">
        <f t="shared" si="149"/>
        <v>7.1354650684709683E-2</v>
      </c>
      <c r="BW96" s="463">
        <f t="shared" si="150"/>
        <v>3.577066035897092E-3</v>
      </c>
      <c r="BX96" s="463">
        <f t="shared" si="151"/>
        <v>0</v>
      </c>
      <c r="BY96" s="463">
        <f t="shared" si="152"/>
        <v>0.13330911083459693</v>
      </c>
      <c r="BZ96" s="463">
        <f t="shared" si="166"/>
        <v>0.11790330717064886</v>
      </c>
      <c r="CA96" s="549">
        <f t="shared" si="153"/>
        <v>3.5126307457531418E-2</v>
      </c>
      <c r="CB96" s="147">
        <f t="shared" si="167"/>
        <v>168.43541829212836</v>
      </c>
      <c r="CC96" s="153">
        <f t="shared" si="168"/>
        <v>0.3988621496852004</v>
      </c>
      <c r="CD96" s="5">
        <f t="shared" si="169"/>
        <v>2.8210000000000006</v>
      </c>
      <c r="CE96" s="153">
        <f t="shared" si="170"/>
        <v>0.87612446398545463</v>
      </c>
      <c r="CF96" s="5">
        <f t="shared" si="171"/>
        <v>87.612446398545458</v>
      </c>
      <c r="CG96">
        <f t="shared" si="172"/>
        <v>91</v>
      </c>
      <c r="CI96" s="59">
        <f t="shared" si="154"/>
        <v>-50</v>
      </c>
      <c r="CJ96">
        <f t="shared" si="155"/>
        <v>-50</v>
      </c>
    </row>
    <row r="97" spans="5:88" x14ac:dyDescent="0.25">
      <c r="E97" s="150">
        <v>92</v>
      </c>
      <c r="F97" s="191">
        <f t="shared" si="173"/>
        <v>9.2000000000000012E-2</v>
      </c>
      <c r="G97" s="191">
        <f t="shared" si="156"/>
        <v>9.2000000000000012E-2</v>
      </c>
      <c r="H97" s="191">
        <f t="shared" si="105"/>
        <v>1.3800000000000001</v>
      </c>
      <c r="I97" s="191">
        <f t="shared" si="174"/>
        <v>1.4720000000000002</v>
      </c>
      <c r="J97" s="472">
        <f t="shared" si="106"/>
        <v>15</v>
      </c>
      <c r="K97" s="386">
        <f t="shared" si="107"/>
        <v>13.773532816853976</v>
      </c>
      <c r="L97" s="386">
        <f t="shared" si="108"/>
        <v>30.32</v>
      </c>
      <c r="M97" s="386"/>
      <c r="N97" s="191">
        <f t="shared" si="109"/>
        <v>0.50527704485488123</v>
      </c>
      <c r="O97" s="152">
        <f t="shared" si="157"/>
        <v>1.237725019150566</v>
      </c>
      <c r="P97" s="152">
        <f t="shared" si="110"/>
        <v>2.7284960422163587</v>
      </c>
      <c r="Q97" s="191">
        <f t="shared" si="111"/>
        <v>8.25150012767044E-2</v>
      </c>
      <c r="R97" s="191">
        <f t="shared" si="112"/>
        <v>7.7357813696910374E-2</v>
      </c>
      <c r="S97" s="386">
        <f t="shared" si="113"/>
        <v>13.453532816853976</v>
      </c>
      <c r="T97" s="191">
        <f t="shared" si="114"/>
        <v>0.75</v>
      </c>
      <c r="U97" s="191">
        <f t="shared" si="115"/>
        <v>2.35</v>
      </c>
      <c r="V97" s="191">
        <f t="shared" si="116"/>
        <v>2.5592562539123116</v>
      </c>
      <c r="W97" s="175">
        <f t="shared" si="117"/>
        <v>350</v>
      </c>
      <c r="X97" s="386">
        <f t="shared" si="158"/>
        <v>203.69684291853261</v>
      </c>
      <c r="Z97" s="191">
        <f t="shared" si="118"/>
        <v>0.43649323482542707</v>
      </c>
      <c r="AA97" s="153">
        <f t="shared" si="119"/>
        <v>1.4894640546898525</v>
      </c>
      <c r="AB97" s="153">
        <f t="shared" si="120"/>
        <v>0.11377467209285987</v>
      </c>
      <c r="AC97" s="153"/>
      <c r="AD97" s="153">
        <f t="shared" si="121"/>
        <v>0.51185125078246241</v>
      </c>
      <c r="AE97" s="317">
        <f t="shared" si="122"/>
        <v>2396.5295870459881</v>
      </c>
      <c r="AF97" s="463">
        <f t="shared" si="123"/>
        <v>1.3436095333039636E-2</v>
      </c>
      <c r="AH97" s="153">
        <f t="shared" si="124"/>
        <v>0.58885288516295964</v>
      </c>
      <c r="AI97" s="153">
        <f t="shared" si="125"/>
        <v>0.58885288516295964</v>
      </c>
      <c r="AJ97" s="153">
        <f t="shared" si="126"/>
        <v>1.5250762112318219</v>
      </c>
      <c r="AL97" s="317">
        <f t="shared" si="127"/>
        <v>92.000000000000014</v>
      </c>
      <c r="AM97" s="147">
        <f t="shared" si="128"/>
        <v>203.69684291853261</v>
      </c>
      <c r="AO97" t="str">
        <f t="shared" si="159"/>
        <v/>
      </c>
      <c r="AP97" t="str">
        <f t="shared" si="129"/>
        <v/>
      </c>
      <c r="AR97" s="5">
        <f t="shared" si="160"/>
        <v>4.9092562539123117</v>
      </c>
      <c r="AS97" s="5">
        <f t="shared" si="130"/>
        <v>1.8450723735106067</v>
      </c>
      <c r="AT97" s="5">
        <f t="shared" si="161"/>
        <v>3.0641838804017052</v>
      </c>
      <c r="AU97" s="153">
        <f t="shared" si="162"/>
        <v>0.37583541744031418</v>
      </c>
      <c r="AW97" s="5">
        <f t="shared" si="131"/>
        <v>0.96692791308641945</v>
      </c>
      <c r="AX97" s="5">
        <f t="shared" si="132"/>
        <v>12.552116784545182</v>
      </c>
      <c r="AY97" s="5">
        <f t="shared" si="133"/>
        <v>0.96440494504700414</v>
      </c>
      <c r="AZ97" s="5">
        <f t="shared" si="134"/>
        <v>6.1205261490020675</v>
      </c>
      <c r="BA97" s="5">
        <f t="shared" si="135"/>
        <v>0.86311628907710258</v>
      </c>
      <c r="BB97" s="147">
        <f t="shared" si="136"/>
        <v>65.367499458560459</v>
      </c>
      <c r="BC97" s="5"/>
      <c r="BD97" s="153">
        <f t="shared" si="163"/>
        <v>0.20842270688016062</v>
      </c>
      <c r="BE97" s="153">
        <f t="shared" si="137"/>
        <v>0.26859364979772055</v>
      </c>
      <c r="BF97" s="153">
        <f t="shared" si="138"/>
        <v>0.26894475260791373</v>
      </c>
      <c r="BG97" s="153"/>
      <c r="BH97" s="463">
        <f t="shared" si="139"/>
        <v>1.5204008660138673E-2</v>
      </c>
      <c r="BI97" s="463">
        <f t="shared" si="140"/>
        <v>1.8184037005516483E-2</v>
      </c>
      <c r="BJ97" s="463">
        <f t="shared" si="141"/>
        <v>2.5462105364816574E-3</v>
      </c>
      <c r="BK97" s="463">
        <f t="shared" si="142"/>
        <v>9.3629498283715022E-3</v>
      </c>
      <c r="BL97">
        <f t="shared" si="143"/>
        <v>4.3499999999999997E-3</v>
      </c>
      <c r="BM97">
        <f t="shared" si="144"/>
        <v>5.0924210729633153E-6</v>
      </c>
      <c r="BN97">
        <f t="shared" si="145"/>
        <v>5.1850286913678628E-2</v>
      </c>
      <c r="BO97" s="147">
        <f t="shared" si="164"/>
        <v>51.85028691367863</v>
      </c>
      <c r="BP97" s="153">
        <f t="shared" si="146"/>
        <v>9.0260907215708674E-2</v>
      </c>
      <c r="BQ97" s="153">
        <f t="shared" si="147"/>
        <v>9.04050978858736E-2</v>
      </c>
      <c r="BR97" s="463"/>
      <c r="BT97" s="147">
        <f t="shared" si="165"/>
        <v>180.66600510158227</v>
      </c>
      <c r="BU97" s="463">
        <f t="shared" si="148"/>
        <v>4.3440024743253355E-2</v>
      </c>
      <c r="BV97" s="463">
        <f t="shared" si="149"/>
        <v>7.2142548711660551E-2</v>
      </c>
      <c r="BW97" s="463">
        <f t="shared" si="150"/>
        <v>3.6165639977665965E-3</v>
      </c>
      <c r="BX97" s="463">
        <f t="shared" si="151"/>
        <v>0</v>
      </c>
      <c r="BY97" s="463">
        <f t="shared" si="152"/>
        <v>0.13478836650912565</v>
      </c>
      <c r="BZ97" s="463">
        <f t="shared" si="166"/>
        <v>0.1191991374526805</v>
      </c>
      <c r="CA97" s="549">
        <f t="shared" si="153"/>
        <v>3.5315707963748035E-2</v>
      </c>
      <c r="CB97" s="147">
        <f t="shared" si="167"/>
        <v>170.10407447287369</v>
      </c>
      <c r="CC97" s="153">
        <f t="shared" si="168"/>
        <v>0.4026203664881346</v>
      </c>
      <c r="CD97" s="5">
        <f t="shared" si="169"/>
        <v>2.8520000000000003</v>
      </c>
      <c r="CE97" s="153">
        <f t="shared" si="170"/>
        <v>0.87629267897608032</v>
      </c>
      <c r="CF97" s="5">
        <f t="shared" si="171"/>
        <v>87.629267897608031</v>
      </c>
      <c r="CG97">
        <f t="shared" si="172"/>
        <v>92</v>
      </c>
      <c r="CI97" s="59">
        <f t="shared" si="154"/>
        <v>-50</v>
      </c>
      <c r="CJ97">
        <f t="shared" si="155"/>
        <v>-50</v>
      </c>
    </row>
    <row r="98" spans="5:88" x14ac:dyDescent="0.25">
      <c r="E98" s="150">
        <v>93</v>
      </c>
      <c r="F98" s="191">
        <f t="shared" si="173"/>
        <v>9.3000000000000013E-2</v>
      </c>
      <c r="G98" s="191">
        <f t="shared" si="156"/>
        <v>9.3000000000000013E-2</v>
      </c>
      <c r="H98" s="191">
        <f t="shared" si="105"/>
        <v>1.3950000000000002</v>
      </c>
      <c r="I98" s="191">
        <f t="shared" si="174"/>
        <v>1.4880000000000002</v>
      </c>
      <c r="J98" s="472">
        <f t="shared" si="106"/>
        <v>15</v>
      </c>
      <c r="K98" s="386">
        <f t="shared" si="107"/>
        <v>13.628871173661999</v>
      </c>
      <c r="L98" s="386">
        <f t="shared" si="108"/>
        <v>30.32</v>
      </c>
      <c r="M98" s="386"/>
      <c r="N98" s="191">
        <f t="shared" si="109"/>
        <v>0.50527704485488123</v>
      </c>
      <c r="O98" s="152">
        <f t="shared" si="157"/>
        <v>1.237725019150566</v>
      </c>
      <c r="P98" s="152">
        <f t="shared" si="110"/>
        <v>2.7284960422163587</v>
      </c>
      <c r="Q98" s="191">
        <f t="shared" si="111"/>
        <v>8.25150012767044E-2</v>
      </c>
      <c r="R98" s="191">
        <f t="shared" si="112"/>
        <v>7.7357813696910374E-2</v>
      </c>
      <c r="S98" s="386">
        <f t="shared" si="113"/>
        <v>13.308871173661998</v>
      </c>
      <c r="T98" s="191">
        <f t="shared" si="114"/>
        <v>0.75</v>
      </c>
      <c r="U98" s="191">
        <f t="shared" si="115"/>
        <v>2.35</v>
      </c>
      <c r="V98" s="191">
        <f t="shared" si="116"/>
        <v>2.5864211020000805</v>
      </c>
      <c r="W98" s="175">
        <f t="shared" si="117"/>
        <v>350</v>
      </c>
      <c r="X98" s="386">
        <f t="shared" si="158"/>
        <v>202.57591063186078</v>
      </c>
      <c r="Z98" s="191">
        <f t="shared" si="118"/>
        <v>0.43409123706827313</v>
      </c>
      <c r="AA98" s="153">
        <f t="shared" si="119"/>
        <v>1.4969903143289349</v>
      </c>
      <c r="AB98" s="153">
        <f t="shared" si="120"/>
        <v>0.11372031604959731</v>
      </c>
      <c r="AC98" s="153"/>
      <c r="AD98" s="153">
        <f t="shared" si="121"/>
        <v>0.51728422040001609</v>
      </c>
      <c r="AE98" s="317">
        <f t="shared" si="122"/>
        <v>2397.1347879916148</v>
      </c>
      <c r="AF98" s="463">
        <f t="shared" si="123"/>
        <v>1.3578710785500424E-2</v>
      </c>
      <c r="AH98" s="153">
        <f t="shared" si="124"/>
        <v>0.59204452309368427</v>
      </c>
      <c r="AI98" s="153">
        <f t="shared" si="125"/>
        <v>0.59204452309368427</v>
      </c>
      <c r="AJ98" s="153">
        <f t="shared" si="126"/>
        <v>1.527440387476803</v>
      </c>
      <c r="AL98" s="317">
        <f t="shared" si="127"/>
        <v>93.000000000000014</v>
      </c>
      <c r="AM98" s="147">
        <f t="shared" si="128"/>
        <v>202.57591063186078</v>
      </c>
      <c r="AO98" t="str">
        <f t="shared" si="159"/>
        <v/>
      </c>
      <c r="AP98" t="str">
        <f t="shared" si="129"/>
        <v/>
      </c>
      <c r="AR98" s="5">
        <f t="shared" si="160"/>
        <v>4.9364211020000806</v>
      </c>
      <c r="AS98" s="5">
        <f t="shared" si="130"/>
        <v>1.8550728390268774</v>
      </c>
      <c r="AT98" s="5">
        <f t="shared" si="161"/>
        <v>3.0813482629732034</v>
      </c>
      <c r="AU98" s="153">
        <f t="shared" si="162"/>
        <v>0.37579306965430098</v>
      </c>
      <c r="AW98" s="5">
        <f t="shared" si="131"/>
        <v>0.96692791308641945</v>
      </c>
      <c r="AX98" s="5">
        <f t="shared" si="132"/>
        <v>12.823439280426664</v>
      </c>
      <c r="AY98" s="5">
        <f t="shared" si="133"/>
        <v>0.96440494504700414</v>
      </c>
      <c r="AZ98" s="5">
        <f t="shared" si="134"/>
        <v>6.252282450699302</v>
      </c>
      <c r="BA98" s="5">
        <f t="shared" si="135"/>
        <v>0.87738538687918488</v>
      </c>
      <c r="BB98" s="147">
        <f t="shared" si="136"/>
        <v>66.444570682605516</v>
      </c>
      <c r="BC98" s="5"/>
      <c r="BD98" s="153">
        <f t="shared" si="163"/>
        <v>0.20954057138479282</v>
      </c>
      <c r="BE98" s="153">
        <f t="shared" si="137"/>
        <v>0.27005861348753635</v>
      </c>
      <c r="BF98" s="153">
        <f t="shared" si="138"/>
        <v>0.27041163128294493</v>
      </c>
      <c r="BG98" s="153"/>
      <c r="BH98" s="463">
        <f t="shared" si="139"/>
        <v>1.5367537869692907E-2</v>
      </c>
      <c r="BI98" s="463">
        <f t="shared" si="140"/>
        <v>1.8181988093486819E-2</v>
      </c>
      <c r="BJ98" s="463">
        <f t="shared" si="141"/>
        <v>2.5321988828982595E-3</v>
      </c>
      <c r="BK98" s="463">
        <f t="shared" si="142"/>
        <v>9.3114260413027557E-3</v>
      </c>
      <c r="BL98">
        <f t="shared" si="143"/>
        <v>4.3499999999999997E-3</v>
      </c>
      <c r="BM98">
        <f t="shared" si="144"/>
        <v>5.0643977657965189E-6</v>
      </c>
      <c r="BN98">
        <f t="shared" si="145"/>
        <v>5.1970184519725571E-2</v>
      </c>
      <c r="BO98" s="147">
        <f t="shared" si="164"/>
        <v>51.970184519725571</v>
      </c>
      <c r="BP98" s="153">
        <f t="shared" si="146"/>
        <v>9.1245784205171279E-2</v>
      </c>
      <c r="BQ98" s="153">
        <f t="shared" si="147"/>
        <v>9.1391552054490968E-2</v>
      </c>
      <c r="BR98" s="463"/>
      <c r="BT98" s="147">
        <f t="shared" si="165"/>
        <v>182.63733625966225</v>
      </c>
      <c r="BU98" s="463">
        <f t="shared" si="148"/>
        <v>4.3907251056265452E-2</v>
      </c>
      <c r="BV98" s="463">
        <f t="shared" si="149"/>
        <v>7.2931654718810551E-2</v>
      </c>
      <c r="BW98" s="463">
        <f t="shared" si="150"/>
        <v>3.6561225166551678E-3</v>
      </c>
      <c r="BX98" s="463">
        <f t="shared" si="151"/>
        <v>0</v>
      </c>
      <c r="BY98" s="463">
        <f t="shared" si="152"/>
        <v>0.13626800101777045</v>
      </c>
      <c r="BZ98" s="463">
        <f t="shared" si="166"/>
        <v>0.12049502829173117</v>
      </c>
      <c r="CA98" s="549">
        <f t="shared" si="153"/>
        <v>3.5503121601924308E-2</v>
      </c>
      <c r="CB98" s="147">
        <f t="shared" si="167"/>
        <v>171.77112261969478</v>
      </c>
      <c r="CC98" s="153">
        <f t="shared" si="168"/>
        <v>0.40637864339908253</v>
      </c>
      <c r="CD98" s="5">
        <f t="shared" si="169"/>
        <v>2.8830000000000005</v>
      </c>
      <c r="CE98" s="153">
        <f t="shared" si="170"/>
        <v>0.87645732296141177</v>
      </c>
      <c r="CF98" s="5">
        <f t="shared" si="171"/>
        <v>87.645732296141176</v>
      </c>
      <c r="CG98">
        <f t="shared" si="172"/>
        <v>93</v>
      </c>
      <c r="CI98" s="59">
        <f t="shared" si="154"/>
        <v>-50</v>
      </c>
      <c r="CJ98">
        <f t="shared" si="155"/>
        <v>-50</v>
      </c>
    </row>
    <row r="99" spans="5:88" x14ac:dyDescent="0.25">
      <c r="E99" s="150">
        <v>94</v>
      </c>
      <c r="F99" s="191">
        <f t="shared" si="173"/>
        <v>9.4E-2</v>
      </c>
      <c r="G99" s="191">
        <f t="shared" si="156"/>
        <v>9.4E-2</v>
      </c>
      <c r="H99" s="191">
        <f t="shared" si="105"/>
        <v>1.41</v>
      </c>
      <c r="I99" s="191">
        <f t="shared" si="174"/>
        <v>1.504</v>
      </c>
      <c r="J99" s="472">
        <f t="shared" si="106"/>
        <v>15</v>
      </c>
      <c r="K99" s="386">
        <f t="shared" si="107"/>
        <v>13.487287437771979</v>
      </c>
      <c r="L99" s="386">
        <f t="shared" si="108"/>
        <v>30.32</v>
      </c>
      <c r="M99" s="386"/>
      <c r="N99" s="191">
        <f t="shared" si="109"/>
        <v>0.50527704485488123</v>
      </c>
      <c r="O99" s="152">
        <f t="shared" si="157"/>
        <v>1.237725019150566</v>
      </c>
      <c r="P99" s="152">
        <f t="shared" si="110"/>
        <v>2.7284960422163587</v>
      </c>
      <c r="Q99" s="191">
        <f t="shared" si="111"/>
        <v>8.25150012767044E-2</v>
      </c>
      <c r="R99" s="191">
        <f t="shared" si="112"/>
        <v>7.7357813696910374E-2</v>
      </c>
      <c r="S99" s="386">
        <f t="shared" si="113"/>
        <v>13.167287437771979</v>
      </c>
      <c r="T99" s="191">
        <f t="shared" si="114"/>
        <v>0.75</v>
      </c>
      <c r="U99" s="191">
        <f t="shared" si="115"/>
        <v>2.35</v>
      </c>
      <c r="V99" s="191">
        <f t="shared" si="116"/>
        <v>2.61357223701485</v>
      </c>
      <c r="W99" s="175">
        <f t="shared" si="117"/>
        <v>350</v>
      </c>
      <c r="X99" s="386">
        <f t="shared" si="158"/>
        <v>201.46780428472451</v>
      </c>
      <c r="Z99" s="191">
        <f t="shared" si="118"/>
        <v>0.43171672346726681</v>
      </c>
      <c r="AA99" s="153">
        <f t="shared" si="119"/>
        <v>1.5044304569454214</v>
      </c>
      <c r="AB99" s="153">
        <f t="shared" si="120"/>
        <v>0.11366036282244706</v>
      </c>
      <c r="AC99" s="153"/>
      <c r="AD99" s="153">
        <f t="shared" si="121"/>
        <v>0.52271444740297002</v>
      </c>
      <c r="AE99" s="317">
        <f t="shared" si="122"/>
        <v>2397.7399889372414</v>
      </c>
      <c r="AF99" s="463">
        <f t="shared" si="123"/>
        <v>1.3721254244327961E-2</v>
      </c>
      <c r="AH99" s="153">
        <f t="shared" si="124"/>
        <v>0.59521904731427588</v>
      </c>
      <c r="AI99" s="153">
        <f t="shared" si="125"/>
        <v>0.59521904731427588</v>
      </c>
      <c r="AJ99" s="153">
        <f t="shared" si="126"/>
        <v>1.5297918868994635</v>
      </c>
      <c r="AL99" s="317">
        <f t="shared" si="127"/>
        <v>94</v>
      </c>
      <c r="AM99" s="147">
        <f t="shared" si="128"/>
        <v>201.46780428472451</v>
      </c>
      <c r="AO99" t="str">
        <f t="shared" si="159"/>
        <v/>
      </c>
      <c r="AP99" t="str">
        <f t="shared" si="129"/>
        <v/>
      </c>
      <c r="AR99" s="5">
        <f t="shared" si="160"/>
        <v>4.9635722370148496</v>
      </c>
      <c r="AS99" s="5">
        <f t="shared" si="130"/>
        <v>1.8650196815847311</v>
      </c>
      <c r="AT99" s="5">
        <f t="shared" si="161"/>
        <v>3.0985525554301185</v>
      </c>
      <c r="AU99" s="153">
        <f t="shared" si="162"/>
        <v>0.37574142019667184</v>
      </c>
      <c r="AW99" s="5">
        <f t="shared" si="131"/>
        <v>0.96692791308641945</v>
      </c>
      <c r="AX99" s="5">
        <f t="shared" si="132"/>
        <v>13.0976625600474</v>
      </c>
      <c r="AY99" s="5">
        <f t="shared" si="133"/>
        <v>0.96440494504700414</v>
      </c>
      <c r="AZ99" s="5">
        <f t="shared" si="134"/>
        <v>6.3854415232256923</v>
      </c>
      <c r="BA99" s="5">
        <f t="shared" si="135"/>
        <v>0.89177107619983842</v>
      </c>
      <c r="BB99" s="147">
        <f t="shared" si="136"/>
        <v>67.530386270543431</v>
      </c>
      <c r="BC99" s="5"/>
      <c r="BD99" s="153">
        <f t="shared" si="163"/>
        <v>0.21064964391227645</v>
      </c>
      <c r="BE99" s="153">
        <f t="shared" si="137"/>
        <v>0.27151789188719999</v>
      </c>
      <c r="BF99" s="153">
        <f t="shared" si="138"/>
        <v>0.27187281723607215</v>
      </c>
      <c r="BG99" s="153"/>
      <c r="BH99" s="463">
        <f t="shared" si="139"/>
        <v>1.5530645368129103E-2</v>
      </c>
      <c r="BI99" s="463">
        <f t="shared" si="140"/>
        <v>1.8179489138877274E-2</v>
      </c>
      <c r="BJ99" s="463">
        <f t="shared" si="141"/>
        <v>2.5183475535590564E-3</v>
      </c>
      <c r="BK99" s="463">
        <f t="shared" si="142"/>
        <v>9.2604918000838768E-3</v>
      </c>
      <c r="BL99">
        <f t="shared" si="143"/>
        <v>4.3499999999999997E-3</v>
      </c>
      <c r="BM99">
        <f t="shared" si="144"/>
        <v>5.0366951071181125E-6</v>
      </c>
      <c r="BN99">
        <f t="shared" si="145"/>
        <v>5.2089906310022374E-2</v>
      </c>
      <c r="BO99" s="147">
        <f t="shared" si="164"/>
        <v>52.089906310022371</v>
      </c>
      <c r="BP99" s="153">
        <f t="shared" si="146"/>
        <v>9.2231581729760093E-2</v>
      </c>
      <c r="BQ99" s="153">
        <f t="shared" si="147"/>
        <v>9.2378929166435322E-2</v>
      </c>
      <c r="BR99" s="463"/>
      <c r="BT99" s="147">
        <f t="shared" si="165"/>
        <v>184.61051089619539</v>
      </c>
      <c r="BU99" s="463">
        <f t="shared" si="148"/>
        <v>4.4373272480368868E-2</v>
      </c>
      <c r="BV99" s="463">
        <f t="shared" si="149"/>
        <v>7.3721965614869225E-2</v>
      </c>
      <c r="BW99" s="463">
        <f t="shared" si="150"/>
        <v>3.6957414375939344E-3</v>
      </c>
      <c r="BX99" s="463">
        <f t="shared" si="151"/>
        <v>0</v>
      </c>
      <c r="BY99" s="463">
        <f t="shared" si="152"/>
        <v>0.13774801432423192</v>
      </c>
      <c r="BZ99" s="463">
        <f t="shared" si="166"/>
        <v>0.12179097953283202</v>
      </c>
      <c r="CA99" s="549">
        <f t="shared" si="153"/>
        <v>3.5688582473294053E-2</v>
      </c>
      <c r="CB99" s="147">
        <f t="shared" si="167"/>
        <v>173.43659679752599</v>
      </c>
      <c r="CC99" s="153">
        <f t="shared" si="168"/>
        <v>0.41013701400374375</v>
      </c>
      <c r="CD99" s="5">
        <f t="shared" si="169"/>
        <v>2.9139999999999997</v>
      </c>
      <c r="CE99" s="153">
        <f t="shared" si="170"/>
        <v>0.87661849909436917</v>
      </c>
      <c r="CF99" s="5">
        <f t="shared" si="171"/>
        <v>87.661849909436924</v>
      </c>
      <c r="CG99">
        <f t="shared" si="172"/>
        <v>94</v>
      </c>
      <c r="CI99" s="59">
        <f t="shared" si="154"/>
        <v>-50</v>
      </c>
      <c r="CJ99">
        <f t="shared" si="155"/>
        <v>-50</v>
      </c>
    </row>
    <row r="100" spans="5:88" x14ac:dyDescent="0.25">
      <c r="E100" s="150">
        <v>95</v>
      </c>
      <c r="F100" s="191">
        <f t="shared" si="173"/>
        <v>9.5000000000000001E-2</v>
      </c>
      <c r="G100" s="191">
        <f t="shared" si="156"/>
        <v>9.5000000000000001E-2</v>
      </c>
      <c r="H100" s="191">
        <f t="shared" si="105"/>
        <v>1.425</v>
      </c>
      <c r="I100" s="191">
        <f t="shared" si="174"/>
        <v>1.52</v>
      </c>
      <c r="J100" s="472">
        <f t="shared" si="106"/>
        <v>15</v>
      </c>
      <c r="K100" s="386">
        <f t="shared" si="107"/>
        <v>13.34868441211122</v>
      </c>
      <c r="L100" s="386">
        <f t="shared" si="108"/>
        <v>30.32</v>
      </c>
      <c r="M100" s="386"/>
      <c r="N100" s="191">
        <f t="shared" si="109"/>
        <v>0.50527704485488123</v>
      </c>
      <c r="O100" s="152">
        <f t="shared" si="157"/>
        <v>1.237725019150566</v>
      </c>
      <c r="P100" s="152">
        <f t="shared" si="110"/>
        <v>2.7284960422163587</v>
      </c>
      <c r="Q100" s="191">
        <f t="shared" si="111"/>
        <v>8.25150012767044E-2</v>
      </c>
      <c r="R100" s="191">
        <f t="shared" si="112"/>
        <v>7.7357813696910374E-2</v>
      </c>
      <c r="S100" s="386">
        <f t="shared" si="113"/>
        <v>13.02868441211122</v>
      </c>
      <c r="T100" s="191">
        <f t="shared" si="114"/>
        <v>0.75</v>
      </c>
      <c r="U100" s="191">
        <f t="shared" si="115"/>
        <v>2.35</v>
      </c>
      <c r="V100" s="191">
        <f t="shared" si="116"/>
        <v>2.6407096693377348</v>
      </c>
      <c r="W100" s="175">
        <f t="shared" si="117"/>
        <v>350</v>
      </c>
      <c r="X100" s="386">
        <f t="shared" si="158"/>
        <v>200.37230499379052</v>
      </c>
      <c r="Z100" s="191">
        <f t="shared" si="118"/>
        <v>0.429369224986694</v>
      </c>
      <c r="AA100" s="153">
        <f t="shared" si="119"/>
        <v>1.5117859521845496</v>
      </c>
      <c r="AB100" s="153">
        <f t="shared" si="120"/>
        <v>0.11359501346116896</v>
      </c>
      <c r="AC100" s="153"/>
      <c r="AD100" s="153">
        <f t="shared" si="121"/>
        <v>0.52814193386754693</v>
      </c>
      <c r="AE100" s="317">
        <f t="shared" si="122"/>
        <v>2398.3451898828675</v>
      </c>
      <c r="AF100" s="463">
        <f t="shared" si="123"/>
        <v>1.3863725764023107E-2</v>
      </c>
      <c r="AH100" s="153">
        <f t="shared" si="124"/>
        <v>0.59837673020113391</v>
      </c>
      <c r="AI100" s="153">
        <f t="shared" si="125"/>
        <v>0.59837673020113391</v>
      </c>
      <c r="AJ100" s="153">
        <f t="shared" si="126"/>
        <v>1.5321309112600991</v>
      </c>
      <c r="AL100" s="317">
        <f t="shared" si="127"/>
        <v>95</v>
      </c>
      <c r="AM100" s="147">
        <f t="shared" si="128"/>
        <v>200.37230499379052</v>
      </c>
      <c r="AO100" t="str">
        <f t="shared" si="159"/>
        <v/>
      </c>
      <c r="AP100" t="str">
        <f t="shared" si="129"/>
        <v/>
      </c>
      <c r="AR100" s="5">
        <f t="shared" si="160"/>
        <v>4.9907096693377344</v>
      </c>
      <c r="AS100" s="5">
        <f t="shared" si="130"/>
        <v>1.8749137546302193</v>
      </c>
      <c r="AT100" s="5">
        <f t="shared" si="161"/>
        <v>3.1157959147075154</v>
      </c>
      <c r="AU100" s="153">
        <f t="shared" si="162"/>
        <v>0.37568079067981924</v>
      </c>
      <c r="AW100" s="5">
        <f t="shared" si="131"/>
        <v>0.96692791308641945</v>
      </c>
      <c r="AX100" s="5">
        <f t="shared" si="132"/>
        <v>13.374786623407402</v>
      </c>
      <c r="AY100" s="5">
        <f t="shared" si="133"/>
        <v>0.96440494504700414</v>
      </c>
      <c r="AZ100" s="5">
        <f t="shared" si="134"/>
        <v>6.5200033665812445</v>
      </c>
      <c r="BA100" s="5">
        <f t="shared" si="135"/>
        <v>0.90627347840134653</v>
      </c>
      <c r="BB100" s="147">
        <f t="shared" si="136"/>
        <v>68.624955324545439</v>
      </c>
      <c r="BC100" s="5"/>
      <c r="BD100" s="153">
        <f t="shared" si="163"/>
        <v>0.21175007046642433</v>
      </c>
      <c r="BE100" s="153">
        <f t="shared" si="137"/>
        <v>0.27297157008169282</v>
      </c>
      <c r="BF100" s="153">
        <f t="shared" si="138"/>
        <v>0.27332839566349892</v>
      </c>
      <c r="BG100" s="153"/>
      <c r="BH100" s="463">
        <f t="shared" si="139"/>
        <v>1.5693332319887482E-2</v>
      </c>
      <c r="BI100" s="463">
        <f t="shared" si="140"/>
        <v>1.8176555702253388E-2</v>
      </c>
      <c r="BJ100" s="463">
        <f t="shared" si="141"/>
        <v>2.5046538124223815E-3</v>
      </c>
      <c r="BK100" s="463">
        <f t="shared" si="142"/>
        <v>9.2101370437161802E-3</v>
      </c>
      <c r="BL100">
        <f t="shared" si="143"/>
        <v>4.3499999999999997E-3</v>
      </c>
      <c r="BM100">
        <f t="shared" si="144"/>
        <v>5.0093076248447631E-6</v>
      </c>
      <c r="BN100">
        <f t="shared" si="145"/>
        <v>5.2209456343412765E-2</v>
      </c>
      <c r="BO100" s="147">
        <f t="shared" si="164"/>
        <v>52.209456343412768</v>
      </c>
      <c r="BP100" s="153">
        <f t="shared" si="146"/>
        <v>9.3218297247668502E-2</v>
      </c>
      <c r="BQ100" s="153">
        <f t="shared" si="147"/>
        <v>9.3367226673250439E-2</v>
      </c>
      <c r="BR100" s="463"/>
      <c r="BT100" s="147">
        <f t="shared" si="165"/>
        <v>186.58552392091892</v>
      </c>
      <c r="BU100" s="463">
        <f t="shared" si="148"/>
        <v>4.4838092342535669E-2</v>
      </c>
      <c r="BV100" s="463">
        <f t="shared" si="149"/>
        <v>7.4513478072864528E-2</v>
      </c>
      <c r="BW100" s="463">
        <f t="shared" si="150"/>
        <v>3.7354205937991112E-3</v>
      </c>
      <c r="BX100" s="463">
        <f t="shared" si="151"/>
        <v>0</v>
      </c>
      <c r="BY100" s="463">
        <f t="shared" si="152"/>
        <v>0.13922840637863543</v>
      </c>
      <c r="BZ100" s="463">
        <f t="shared" si="166"/>
        <v>0.12308699100919931</v>
      </c>
      <c r="CA100" s="549">
        <f t="shared" si="153"/>
        <v>3.5872123903143656E-2</v>
      </c>
      <c r="CB100" s="147">
        <f t="shared" si="167"/>
        <v>175.10053028177907</v>
      </c>
      <c r="CC100" s="153">
        <f t="shared" si="168"/>
        <v>0.41389551054611079</v>
      </c>
      <c r="CD100" s="5">
        <f t="shared" si="169"/>
        <v>2.9450000000000003</v>
      </c>
      <c r="CE100" s="153">
        <f t="shared" si="170"/>
        <v>0.87677630660239947</v>
      </c>
      <c r="CF100" s="5">
        <f t="shared" si="171"/>
        <v>87.677630660239942</v>
      </c>
      <c r="CG100">
        <f t="shared" si="172"/>
        <v>95</v>
      </c>
      <c r="CI100" s="59">
        <f t="shared" si="154"/>
        <v>-50</v>
      </c>
      <c r="CJ100">
        <f t="shared" si="155"/>
        <v>-50</v>
      </c>
    </row>
    <row r="101" spans="5:88" x14ac:dyDescent="0.25">
      <c r="E101" s="150">
        <v>96</v>
      </c>
      <c r="F101" s="191">
        <f t="shared" si="173"/>
        <v>9.6000000000000002E-2</v>
      </c>
      <c r="G101" s="191">
        <f t="shared" si="156"/>
        <v>9.6000000000000002E-2</v>
      </c>
      <c r="H101" s="191">
        <f t="shared" si="105"/>
        <v>1.44</v>
      </c>
      <c r="I101" s="191">
        <f t="shared" si="174"/>
        <v>1.536</v>
      </c>
      <c r="J101" s="472">
        <f t="shared" si="106"/>
        <v>15</v>
      </c>
      <c r="K101" s="386">
        <f t="shared" si="107"/>
        <v>13.212968949485063</v>
      </c>
      <c r="L101" s="386">
        <f t="shared" si="108"/>
        <v>30.32</v>
      </c>
      <c r="M101" s="386"/>
      <c r="N101" s="191">
        <f t="shared" si="109"/>
        <v>0.50527704485488123</v>
      </c>
      <c r="O101" s="152">
        <f t="shared" si="157"/>
        <v>1.237725019150566</v>
      </c>
      <c r="P101" s="152">
        <f t="shared" si="110"/>
        <v>2.7284960422163587</v>
      </c>
      <c r="Q101" s="191">
        <f t="shared" si="111"/>
        <v>8.25150012767044E-2</v>
      </c>
      <c r="R101" s="191">
        <f t="shared" si="112"/>
        <v>7.7357813696910374E-2</v>
      </c>
      <c r="S101" s="386">
        <f t="shared" si="113"/>
        <v>12.892968949485063</v>
      </c>
      <c r="T101" s="191">
        <f t="shared" si="114"/>
        <v>0.75</v>
      </c>
      <c r="U101" s="191">
        <f t="shared" si="115"/>
        <v>2.35</v>
      </c>
      <c r="V101" s="191">
        <f t="shared" si="116"/>
        <v>2.6678334093393721</v>
      </c>
      <c r="W101" s="175">
        <f t="shared" si="117"/>
        <v>350</v>
      </c>
      <c r="X101" s="386">
        <f t="shared" si="158"/>
        <v>199.28919882807665</v>
      </c>
      <c r="Z101" s="191">
        <f t="shared" si="118"/>
        <v>0.42704828320302146</v>
      </c>
      <c r="AA101" s="153">
        <f t="shared" si="119"/>
        <v>1.5190582364400567</v>
      </c>
      <c r="AB101" s="153">
        <f t="shared" ref="AB101:AB105" si="175">0.5*AA101*Z101*Nps*W101/1000*(Pout/Pout_total)</f>
        <v>0.11352446209249874</v>
      </c>
      <c r="AC101" s="153"/>
      <c r="AD101" s="153">
        <f t="shared" si="121"/>
        <v>0.53356668186787437</v>
      </c>
      <c r="AE101" s="317">
        <f t="shared" ref="AE101:AE105" si="176">MAX(10, F101/(0.5*AD101/1000000*Isw_min*Nps)/1000*Pout_total/Pout)</f>
        <v>2398.9503908284942</v>
      </c>
      <c r="AF101" s="463">
        <f t="shared" si="123"/>
        <v>1.4006125399031701E-2</v>
      </c>
      <c r="AH101" s="153">
        <f t="shared" si="124"/>
        <v>0.60151783698132089</v>
      </c>
      <c r="AI101" s="153">
        <f t="shared" ref="AI101:AI105" si="177">MAX(IF(F101&gt;AB101,T101,AH101),Isw_min)</f>
        <v>0.60151783698132089</v>
      </c>
      <c r="AJ101" s="153">
        <f t="shared" ref="AJ101:AJ105" si="178">IF(F101&gt;AF101, (AI101-Isw_min)/1.08*0.8+1.2, AE101*0.2/350+1)</f>
        <v>1.5344576570232005</v>
      </c>
      <c r="AL101" s="317">
        <f t="shared" si="127"/>
        <v>96</v>
      </c>
      <c r="AM101" s="147">
        <f t="shared" si="128"/>
        <v>199.28919882807665</v>
      </c>
      <c r="AO101" t="str">
        <f t="shared" si="159"/>
        <v/>
      </c>
      <c r="AP101" t="str">
        <f t="shared" si="129"/>
        <v/>
      </c>
      <c r="AR101" s="5">
        <f t="shared" si="160"/>
        <v>5.0178334093393726</v>
      </c>
      <c r="AS101" s="5">
        <f t="shared" si="130"/>
        <v>1.8847558892081389</v>
      </c>
      <c r="AT101" s="5">
        <f t="shared" si="161"/>
        <v>3.1330775201312338</v>
      </c>
      <c r="AU101" s="153">
        <f t="shared" si="162"/>
        <v>0.37561149114678921</v>
      </c>
      <c r="AW101" s="5">
        <f t="shared" si="131"/>
        <v>0.96692791308641945</v>
      </c>
      <c r="AX101" s="5">
        <f t="shared" si="132"/>
        <v>13.654811470506662</v>
      </c>
      <c r="AY101" s="5">
        <f t="shared" si="133"/>
        <v>0.96440494504700414</v>
      </c>
      <c r="AZ101" s="5">
        <f t="shared" si="134"/>
        <v>6.6559679807659551</v>
      </c>
      <c r="BA101" s="5">
        <f t="shared" si="135"/>
        <v>0.92089271110227677</v>
      </c>
      <c r="BB101" s="147">
        <f t="shared" si="136"/>
        <v>69.728286666004081</v>
      </c>
      <c r="BC101" s="5"/>
      <c r="BD101" s="153">
        <f t="shared" si="163"/>
        <v>0.21284199348481839</v>
      </c>
      <c r="BE101" s="153">
        <f t="shared" si="137"/>
        <v>0.27441973060436242</v>
      </c>
      <c r="BF101" s="153">
        <f t="shared" si="138"/>
        <v>0.27477844920645966</v>
      </c>
      <c r="BG101" s="153"/>
      <c r="BH101" s="463">
        <f t="shared" si="139"/>
        <v>1.5855599966707015E-2</v>
      </c>
      <c r="BI101" s="463">
        <f t="shared" si="140"/>
        <v>1.817320278442125E-2</v>
      </c>
      <c r="BJ101" s="463">
        <f t="shared" si="141"/>
        <v>2.4911149853509579E-3</v>
      </c>
      <c r="BK101" s="463">
        <f t="shared" si="142"/>
        <v>9.1603519388364033E-3</v>
      </c>
      <c r="BL101">
        <f t="shared" si="143"/>
        <v>4.3499999999999997E-3</v>
      </c>
      <c r="BM101">
        <f t="shared" si="144"/>
        <v>4.9822299707019163E-6</v>
      </c>
      <c r="BN101">
        <f t="shared" ref="BN101:BN105" si="179">(BI101+BJ101+BK101+BL101+BM101+BH101*(1+RdsonTC*(Ta-25)))/(1-BH101*RdsonTC*ThetaJA)</f>
        <v>5.2328838497264787E-2</v>
      </c>
      <c r="BO101" s="147">
        <f t="shared" si="164"/>
        <v>52.32883849726479</v>
      </c>
      <c r="BP101" s="153">
        <f t="shared" si="146"/>
        <v>9.4205928048357729E-2</v>
      </c>
      <c r="BQ101" s="153">
        <f t="shared" si="147"/>
        <v>9.4356441857306503E-2</v>
      </c>
      <c r="BR101" s="463"/>
      <c r="BT101" s="147">
        <f t="shared" si="165"/>
        <v>188.56236990566421</v>
      </c>
      <c r="BU101" s="463">
        <f t="shared" si="148"/>
        <v>4.5301714190591473E-2</v>
      </c>
      <c r="BV101" s="463">
        <f t="shared" si="149"/>
        <v>7.5306188544970842E-2</v>
      </c>
      <c r="BW101" s="463">
        <f t="shared" si="150"/>
        <v>3.7751598074153465E-3</v>
      </c>
      <c r="BX101" s="463">
        <f t="shared" si="151"/>
        <v>0</v>
      </c>
      <c r="BY101" s="463">
        <f t="shared" ref="BY101:BY164" si="180">(BX101+(BU101+BV101+BW101)*(1+Ltc*(Ta-25)))/(1-(BU101+BV101+BW101)*Ltc*ThetaCa)</f>
        <v>0.14070917711836578</v>
      </c>
      <c r="BZ101" s="463">
        <f t="shared" si="166"/>
        <v>0.12438306254297767</v>
      </c>
      <c r="CA101" s="549">
        <f t="shared" si="153"/>
        <v>3.6053778462757216E-2</v>
      </c>
      <c r="CB101" s="147">
        <f t="shared" si="167"/>
        <v>176.76295558112298</v>
      </c>
      <c r="CC101" s="153">
        <f t="shared" si="168"/>
        <v>0.41765416398405203</v>
      </c>
      <c r="CD101" s="5">
        <f t="shared" si="169"/>
        <v>2.976</v>
      </c>
      <c r="CE101" s="153">
        <f t="shared" si="170"/>
        <v>0.87693084097475094</v>
      </c>
      <c r="CF101" s="5">
        <f t="shared" si="171"/>
        <v>87.693084097475094</v>
      </c>
      <c r="CG101">
        <f t="shared" si="172"/>
        <v>96</v>
      </c>
      <c r="CI101" s="59">
        <f t="shared" si="154"/>
        <v>-50</v>
      </c>
      <c r="CJ101">
        <f t="shared" si="155"/>
        <v>-50</v>
      </c>
    </row>
    <row r="102" spans="5:88" x14ac:dyDescent="0.25">
      <c r="E102" s="150">
        <v>97</v>
      </c>
      <c r="F102" s="191">
        <f t="shared" si="173"/>
        <v>9.7000000000000003E-2</v>
      </c>
      <c r="G102" s="191">
        <f t="shared" si="156"/>
        <v>9.7000000000000003E-2</v>
      </c>
      <c r="H102" s="191">
        <f t="shared" si="105"/>
        <v>1.4550000000000001</v>
      </c>
      <c r="I102" s="191">
        <f t="shared" si="174"/>
        <v>1.552</v>
      </c>
      <c r="J102" s="472">
        <f t="shared" si="106"/>
        <v>15</v>
      </c>
      <c r="K102" s="386">
        <f t="shared" si="107"/>
        <v>13.080051743820269</v>
      </c>
      <c r="L102" s="386">
        <f t="shared" si="108"/>
        <v>30.32</v>
      </c>
      <c r="M102" s="386"/>
      <c r="N102" s="191">
        <f t="shared" si="109"/>
        <v>0.50527704485488123</v>
      </c>
      <c r="O102" s="152">
        <f t="shared" ref="O102:O105" si="181">N102*J102*Isw_max*0.5*Efficiency*Pout/(Pout+Pout2)</f>
        <v>1.237725019150566</v>
      </c>
      <c r="P102" s="152">
        <f t="shared" si="110"/>
        <v>2.7284960422163587</v>
      </c>
      <c r="Q102" s="191">
        <f t="shared" si="111"/>
        <v>8.25150012767044E-2</v>
      </c>
      <c r="R102" s="191">
        <f t="shared" si="112"/>
        <v>7.7357813696910374E-2</v>
      </c>
      <c r="S102" s="386">
        <f t="shared" si="113"/>
        <v>12.760051743820268</v>
      </c>
      <c r="T102" s="191">
        <f t="shared" si="114"/>
        <v>0.75</v>
      </c>
      <c r="U102" s="191">
        <f t="shared" si="115"/>
        <v>2.35</v>
      </c>
      <c r="V102" s="191">
        <f t="shared" si="116"/>
        <v>2.6949434673799377</v>
      </c>
      <c r="W102" s="175">
        <f t="shared" si="117"/>
        <v>350</v>
      </c>
      <c r="X102" s="386">
        <f t="shared" si="158"/>
        <v>198.21827666967778</v>
      </c>
      <c r="Z102" s="191">
        <f t="shared" si="118"/>
        <v>0.42475345000645237</v>
      </c>
      <c r="AA102" s="153">
        <f t="shared" si="119"/>
        <v>1.5262487137893064</v>
      </c>
      <c r="AB102" s="153">
        <f t="shared" si="175"/>
        <v>0.11344889618123571</v>
      </c>
      <c r="AC102" s="153"/>
      <c r="AD102" s="153">
        <f t="shared" si="121"/>
        <v>0.53898869347598755</v>
      </c>
      <c r="AE102" s="317">
        <f t="shared" si="176"/>
        <v>2399.5555917741203</v>
      </c>
      <c r="AF102" s="463">
        <f t="shared" si="123"/>
        <v>1.4148453203744674E-2</v>
      </c>
      <c r="AH102" s="153">
        <f t="shared" si="124"/>
        <v>0.60464262599255547</v>
      </c>
      <c r="AI102" s="153">
        <f t="shared" si="177"/>
        <v>0.60464262599255547</v>
      </c>
      <c r="AJ102" s="153">
        <f t="shared" si="178"/>
        <v>1.536772315550041</v>
      </c>
      <c r="AL102" s="317">
        <f t="shared" si="127"/>
        <v>97</v>
      </c>
      <c r="AM102" s="147">
        <f t="shared" si="128"/>
        <v>198.21827666967778</v>
      </c>
      <c r="AO102" t="str">
        <f t="shared" si="159"/>
        <v/>
      </c>
      <c r="AP102" t="str">
        <f t="shared" si="129"/>
        <v/>
      </c>
      <c r="AR102" s="5">
        <f t="shared" si="160"/>
        <v>5.0449434673799374</v>
      </c>
      <c r="AS102" s="5">
        <f t="shared" si="130"/>
        <v>1.8945468947766737</v>
      </c>
      <c r="AT102" s="5">
        <f t="shared" si="161"/>
        <v>3.1503965726032637</v>
      </c>
      <c r="AU102" s="153">
        <f t="shared" si="162"/>
        <v>0.37553382055252166</v>
      </c>
      <c r="AW102" s="5">
        <f t="shared" si="131"/>
        <v>0.96692791308641945</v>
      </c>
      <c r="AX102" s="5">
        <f t="shared" si="132"/>
        <v>13.937737101345183</v>
      </c>
      <c r="AY102" s="5">
        <f t="shared" si="133"/>
        <v>0.96440494504700414</v>
      </c>
      <c r="AZ102" s="5">
        <f t="shared" si="134"/>
        <v>6.7933353657798268</v>
      </c>
      <c r="BA102" s="5">
        <f t="shared" si="135"/>
        <v>0.93562888827832236</v>
      </c>
      <c r="BB102" s="147">
        <f t="shared" si="136"/>
        <v>70.840388843096406</v>
      </c>
      <c r="BC102" s="5"/>
      <c r="BD102" s="153">
        <f t="shared" si="163"/>
        <v>0.21392555195484886</v>
      </c>
      <c r="BE102" s="153">
        <f t="shared" si="137"/>
        <v>0.27586245354621514</v>
      </c>
      <c r="BF102" s="153">
        <f t="shared" si="138"/>
        <v>0.27622305806065461</v>
      </c>
      <c r="BG102" s="153"/>
      <c r="BH102" s="463">
        <f t="shared" si="139"/>
        <v>1.6017449622715358E-2</v>
      </c>
      <c r="BI102" s="463">
        <f t="shared" si="140"/>
        <v>1.8169444849711367E-2</v>
      </c>
      <c r="BJ102" s="463">
        <f t="shared" si="141"/>
        <v>2.477728458370972E-3</v>
      </c>
      <c r="BK102" s="463">
        <f t="shared" si="142"/>
        <v>9.1111268733149384E-3</v>
      </c>
      <c r="BL102">
        <f t="shared" si="143"/>
        <v>4.3499999999999997E-3</v>
      </c>
      <c r="BM102">
        <f t="shared" si="144"/>
        <v>4.9554569167419443E-6</v>
      </c>
      <c r="BN102">
        <f t="shared" si="179"/>
        <v>5.2448056476994208E-2</v>
      </c>
      <c r="BO102" s="147">
        <f t="shared" si="164"/>
        <v>52.448056476994211</v>
      </c>
      <c r="BP102" s="153">
        <f t="shared" si="146"/>
        <v>9.5194471263274821E-2</v>
      </c>
      <c r="BQ102" s="153">
        <f t="shared" si="147"/>
        <v>9.5346571842546149E-2</v>
      </c>
      <c r="BR102" s="463"/>
      <c r="BT102" s="147">
        <f t="shared" si="165"/>
        <v>190.54104310582099</v>
      </c>
      <c r="BU102" s="463">
        <f t="shared" si="148"/>
        <v>4.5764141779186737E-2</v>
      </c>
      <c r="BV102" s="463">
        <f t="shared" si="149"/>
        <v>7.6100093276537703E-2</v>
      </c>
      <c r="BW102" s="463">
        <f t="shared" si="150"/>
        <v>3.8149588902189886E-3</v>
      </c>
      <c r="BX102" s="463">
        <f t="shared" si="151"/>
        <v>0</v>
      </c>
      <c r="BY102" s="463">
        <f t="shared" si="180"/>
        <v>0.14219032646885799</v>
      </c>
      <c r="BZ102" s="463">
        <f t="shared" si="166"/>
        <v>0.12567919394594343</v>
      </c>
      <c r="CA102" s="549">
        <f t="shared" si="153"/>
        <v>3.6233577990621352E-2</v>
      </c>
      <c r="CB102" s="147">
        <f t="shared" si="167"/>
        <v>178.42390445947933</v>
      </c>
      <c r="CC102" s="153">
        <f t="shared" si="168"/>
        <v>0.42141300404229454</v>
      </c>
      <c r="CD102" s="5">
        <f t="shared" si="169"/>
        <v>3.0070000000000001</v>
      </c>
      <c r="CE102" s="153">
        <f t="shared" si="170"/>
        <v>0.87708219413897204</v>
      </c>
      <c r="CF102" s="5">
        <f t="shared" si="171"/>
        <v>87.708219413897197</v>
      </c>
      <c r="CG102">
        <f t="shared" si="172"/>
        <v>97</v>
      </c>
      <c r="CI102" s="59">
        <f t="shared" si="154"/>
        <v>-50</v>
      </c>
      <c r="CJ102">
        <f t="shared" si="155"/>
        <v>-50</v>
      </c>
    </row>
    <row r="103" spans="5:88" x14ac:dyDescent="0.25">
      <c r="E103" s="150">
        <v>98</v>
      </c>
      <c r="F103" s="191">
        <f t="shared" si="173"/>
        <v>9.8000000000000004E-2</v>
      </c>
      <c r="G103" s="191">
        <f t="shared" si="156"/>
        <v>9.8000000000000004E-2</v>
      </c>
      <c r="H103" s="191">
        <f t="shared" si="105"/>
        <v>1.47</v>
      </c>
      <c r="I103" s="191">
        <f t="shared" si="174"/>
        <v>1.5680000000000001</v>
      </c>
      <c r="J103" s="472">
        <f t="shared" si="106"/>
        <v>15</v>
      </c>
      <c r="K103" s="386">
        <f t="shared" si="107"/>
        <v>12.949847134189449</v>
      </c>
      <c r="L103" s="386">
        <f t="shared" si="108"/>
        <v>30.32</v>
      </c>
      <c r="M103" s="386"/>
      <c r="N103" s="191">
        <f t="shared" si="109"/>
        <v>0.50527704485488123</v>
      </c>
      <c r="O103" s="152">
        <f t="shared" si="181"/>
        <v>1.237725019150566</v>
      </c>
      <c r="P103" s="152">
        <f t="shared" si="110"/>
        <v>2.7284960422163587</v>
      </c>
      <c r="Q103" s="191">
        <f t="shared" si="111"/>
        <v>8.25150012767044E-2</v>
      </c>
      <c r="R103" s="191">
        <f t="shared" si="112"/>
        <v>7.7357813696910374E-2</v>
      </c>
      <c r="S103" s="386">
        <f t="shared" si="113"/>
        <v>12.629847134189449</v>
      </c>
      <c r="T103" s="191">
        <f t="shared" si="114"/>
        <v>0.75</v>
      </c>
      <c r="U103" s="191">
        <f t="shared" si="115"/>
        <v>2.35</v>
      </c>
      <c r="V103" s="191">
        <f t="shared" si="116"/>
        <v>2.7220398538091581</v>
      </c>
      <c r="W103" s="175">
        <f t="shared" si="117"/>
        <v>350</v>
      </c>
      <c r="X103" s="386">
        <f t="shared" si="158"/>
        <v>197.15933407916518</v>
      </c>
      <c r="Z103" s="191">
        <f t="shared" si="118"/>
        <v>0.42248428731249688</v>
      </c>
      <c r="AA103" s="153">
        <f t="shared" si="119"/>
        <v>1.5333587568970339</v>
      </c>
      <c r="AB103" s="153">
        <f t="shared" si="175"/>
        <v>0.11336849678035342</v>
      </c>
      <c r="AC103" s="153"/>
      <c r="AD103" s="153">
        <f t="shared" si="121"/>
        <v>0.54440797076183178</v>
      </c>
      <c r="AE103" s="317">
        <f t="shared" si="176"/>
        <v>2400.1607927197465</v>
      </c>
      <c r="AF103" s="463">
        <f t="shared" si="123"/>
        <v>1.4290709232498084E-2</v>
      </c>
      <c r="AH103" s="153">
        <f t="shared" si="124"/>
        <v>0.60775134893117233</v>
      </c>
      <c r="AI103" s="153">
        <f t="shared" si="177"/>
        <v>0.60775134893117233</v>
      </c>
      <c r="AJ103" s="153">
        <f t="shared" si="178"/>
        <v>1.5390750732823499</v>
      </c>
      <c r="AL103" s="317">
        <f t="shared" si="127"/>
        <v>98</v>
      </c>
      <c r="AM103" s="147">
        <f t="shared" si="128"/>
        <v>197.15933407916518</v>
      </c>
      <c r="AO103" t="str">
        <f t="shared" si="159"/>
        <v/>
      </c>
      <c r="AP103" t="str">
        <f t="shared" si="129"/>
        <v/>
      </c>
      <c r="AR103" s="5">
        <f t="shared" si="160"/>
        <v>5.0720398538091587</v>
      </c>
      <c r="AS103" s="5">
        <f t="shared" si="130"/>
        <v>1.9042875599843399</v>
      </c>
      <c r="AT103" s="5">
        <f t="shared" si="161"/>
        <v>3.1677522938248188</v>
      </c>
      <c r="AU103" s="153">
        <f t="shared" si="162"/>
        <v>0.37544806722175073</v>
      </c>
      <c r="AW103" s="5">
        <f t="shared" si="131"/>
        <v>0.96692791308641945</v>
      </c>
      <c r="AX103" s="5">
        <f t="shared" si="132"/>
        <v>14.22356351592296</v>
      </c>
      <c r="AY103" s="5">
        <f t="shared" si="133"/>
        <v>0.96440494504700414</v>
      </c>
      <c r="AZ103" s="5">
        <f t="shared" si="134"/>
        <v>6.932105521622856</v>
      </c>
      <c r="BA103" s="5">
        <f t="shared" si="135"/>
        <v>0.95048212035948643</v>
      </c>
      <c r="BB103" s="147">
        <f t="shared" si="136"/>
        <v>71.961270138072592</v>
      </c>
      <c r="BC103" s="5"/>
      <c r="BD103" s="153">
        <f t="shared" si="163"/>
        <v>0.21500088152498803</v>
      </c>
      <c r="BE103" s="153">
        <f t="shared" si="137"/>
        <v>0.27729981665945003</v>
      </c>
      <c r="BF103" s="153">
        <f t="shared" si="138"/>
        <v>0.27766230007991988</v>
      </c>
      <c r="BG103" s="153"/>
      <c r="BH103" s="463">
        <f t="shared" si="139"/>
        <v>1.6178882669782676E-2</v>
      </c>
      <c r="BI103" s="463">
        <f t="shared" si="140"/>
        <v>1.8165295848133221E-2</v>
      </c>
      <c r="BJ103" s="463">
        <f t="shared" si="141"/>
        <v>2.4644916759895647E-3</v>
      </c>
      <c r="BK103" s="463">
        <f t="shared" si="142"/>
        <v>9.0624524500689165E-3</v>
      </c>
      <c r="BL103">
        <f t="shared" si="143"/>
        <v>4.3499999999999997E-3</v>
      </c>
      <c r="BM103">
        <f t="shared" si="144"/>
        <v>4.9289833519791294E-6</v>
      </c>
      <c r="BN103">
        <f t="shared" si="179"/>
        <v>5.2567113825033485E-2</v>
      </c>
      <c r="BO103" s="147">
        <f t="shared" si="164"/>
        <v>52.567113825033488</v>
      </c>
      <c r="BP103" s="153">
        <f t="shared" si="146"/>
        <v>9.6183923875994559E-2</v>
      </c>
      <c r="BQ103" s="153">
        <f t="shared" si="147"/>
        <v>9.6337613604653025E-2</v>
      </c>
      <c r="BR103" s="463"/>
      <c r="BT103" s="147">
        <f t="shared" si="165"/>
        <v>192.52153748064759</v>
      </c>
      <c r="BU103" s="463">
        <f t="shared" si="148"/>
        <v>4.6225379056521937E-2</v>
      </c>
      <c r="BV103" s="463">
        <f t="shared" si="149"/>
        <v>7.6895188319364594E-2</v>
      </c>
      <c r="BW103" s="463">
        <f t="shared" si="150"/>
        <v>3.8548176442835739E-3</v>
      </c>
      <c r="BX103" s="463">
        <f t="shared" si="151"/>
        <v>0</v>
      </c>
      <c r="BY103" s="463">
        <f t="shared" si="180"/>
        <v>0.14367185434434532</v>
      </c>
      <c r="BZ103" s="463">
        <f t="shared" si="166"/>
        <v>0.12697538502017011</v>
      </c>
      <c r="CA103" s="549">
        <f t="shared" si="153"/>
        <v>3.6411553612918174E-2</v>
      </c>
      <c r="CB103" s="147">
        <f t="shared" si="167"/>
        <v>180.08340795726349</v>
      </c>
      <c r="CC103" s="153">
        <f t="shared" si="168"/>
        <v>0.42517205926294455</v>
      </c>
      <c r="CD103" s="5">
        <f t="shared" si="169"/>
        <v>3.0380000000000003</v>
      </c>
      <c r="CE103" s="153">
        <f t="shared" si="170"/>
        <v>0.87723045462735905</v>
      </c>
      <c r="CF103" s="5">
        <f t="shared" si="171"/>
        <v>87.723045462735911</v>
      </c>
      <c r="CG103">
        <f t="shared" si="172"/>
        <v>98</v>
      </c>
      <c r="CI103" s="59">
        <f t="shared" si="154"/>
        <v>-50</v>
      </c>
      <c r="CJ103">
        <f t="shared" si="155"/>
        <v>-50</v>
      </c>
    </row>
    <row r="104" spans="5:88" x14ac:dyDescent="0.25">
      <c r="E104" s="150">
        <v>99</v>
      </c>
      <c r="F104" s="191">
        <f t="shared" ref="F104:F105" si="182">IF(PLOT_TYPE=1, E104/100*Iout_max, min_I*EXP(O104*rr/100))</f>
        <v>9.9000000000000005E-2</v>
      </c>
      <c r="G104" s="191">
        <f t="shared" si="156"/>
        <v>9.9000000000000005E-2</v>
      </c>
      <c r="H104" s="191">
        <f t="shared" si="105"/>
        <v>1.4850000000000001</v>
      </c>
      <c r="I104" s="191">
        <f t="shared" si="174"/>
        <v>1.5840000000000001</v>
      </c>
      <c r="J104" s="472">
        <f t="shared" si="106"/>
        <v>15</v>
      </c>
      <c r="K104" s="386">
        <f t="shared" si="107"/>
        <v>12.822272920712788</v>
      </c>
      <c r="L104" s="386">
        <f t="shared" si="108"/>
        <v>30.32</v>
      </c>
      <c r="M104" s="386"/>
      <c r="N104" s="191">
        <f t="shared" si="109"/>
        <v>0.50527704485488123</v>
      </c>
      <c r="O104" s="152">
        <f t="shared" si="181"/>
        <v>1.237725019150566</v>
      </c>
      <c r="P104" s="152">
        <f t="shared" si="110"/>
        <v>2.7284960422163587</v>
      </c>
      <c r="Q104" s="191">
        <f t="shared" si="111"/>
        <v>8.25150012767044E-2</v>
      </c>
      <c r="R104" s="191">
        <f t="shared" si="112"/>
        <v>7.7357813696910374E-2</v>
      </c>
      <c r="S104" s="386">
        <f t="shared" si="113"/>
        <v>12.502272920712787</v>
      </c>
      <c r="T104" s="191">
        <f t="shared" si="114"/>
        <v>0.75</v>
      </c>
      <c r="U104" s="191">
        <f t="shared" si="115"/>
        <v>2.35</v>
      </c>
      <c r="V104" s="191">
        <f t="shared" si="116"/>
        <v>2.7491225789663241</v>
      </c>
      <c r="W104" s="175">
        <f t="shared" si="117"/>
        <v>350</v>
      </c>
      <c r="X104" s="386">
        <f t="shared" si="158"/>
        <v>196.11217116547851</v>
      </c>
      <c r="Z104" s="191">
        <f t="shared" si="118"/>
        <v>0.42024036678316828</v>
      </c>
      <c r="AA104" s="153">
        <f t="shared" si="119"/>
        <v>1.5403897078889301</v>
      </c>
      <c r="AB104" s="153">
        <f t="shared" si="175"/>
        <v>0.11328343877064576</v>
      </c>
      <c r="AC104" s="153"/>
      <c r="AD104" s="153">
        <f t="shared" si="121"/>
        <v>0.54982451579326475</v>
      </c>
      <c r="AE104" s="317">
        <f t="shared" si="176"/>
        <v>2400.7659936653736</v>
      </c>
      <c r="AF104" s="463">
        <f t="shared" si="123"/>
        <v>1.4432893539573201E-2</v>
      </c>
      <c r="AH104" s="153">
        <f t="shared" si="124"/>
        <v>0.61084425108872542</v>
      </c>
      <c r="AI104" s="153">
        <f t="shared" si="177"/>
        <v>0.61084425108872542</v>
      </c>
      <c r="AJ104" s="153">
        <f t="shared" si="178"/>
        <v>1.5413661119175743</v>
      </c>
      <c r="AL104" s="317">
        <f t="shared" si="127"/>
        <v>99</v>
      </c>
      <c r="AM104" s="147">
        <f t="shared" si="128"/>
        <v>196.11217116547851</v>
      </c>
      <c r="AO104" t="str">
        <f t="shared" si="159"/>
        <v/>
      </c>
      <c r="AP104" t="str">
        <f t="shared" si="129"/>
        <v/>
      </c>
      <c r="AR104" s="5">
        <f t="shared" si="160"/>
        <v>5.0991225789663241</v>
      </c>
      <c r="AS104" s="5">
        <f t="shared" si="130"/>
        <v>1.9139786534113397</v>
      </c>
      <c r="AT104" s="5">
        <f t="shared" si="161"/>
        <v>3.1851439255549847</v>
      </c>
      <c r="AU104" s="153">
        <f t="shared" si="162"/>
        <v>0.37535450928487674</v>
      </c>
      <c r="AW104" s="5">
        <f t="shared" si="131"/>
        <v>0.96692791308641945</v>
      </c>
      <c r="AX104" s="5">
        <f t="shared" si="132"/>
        <v>14.512290714239995</v>
      </c>
      <c r="AY104" s="5">
        <f t="shared" si="133"/>
        <v>0.96440494504700414</v>
      </c>
      <c r="AZ104" s="5">
        <f t="shared" si="134"/>
        <v>7.0722784482950445</v>
      </c>
      <c r="BA104" s="5">
        <f t="shared" si="135"/>
        <v>0.96545251432377743</v>
      </c>
      <c r="BB104" s="147">
        <f t="shared" si="136"/>
        <v>73.090938574283328</v>
      </c>
      <c r="BC104" s="5"/>
      <c r="BD104" s="153">
        <f t="shared" si="163"/>
        <v>0.21606811461153785</v>
      </c>
      <c r="BE104" s="153">
        <f t="shared" si="137"/>
        <v>0.27873189545558641</v>
      </c>
      <c r="BF104" s="153">
        <f t="shared" si="138"/>
        <v>0.27909625087448264</v>
      </c>
      <c r="BG104" s="153"/>
      <c r="BH104" s="463">
        <f t="shared" si="139"/>
        <v>1.633990055312463E-2</v>
      </c>
      <c r="BI104" s="463">
        <f t="shared" si="140"/>
        <v>1.8160769236464036E-2</v>
      </c>
      <c r="BJ104" s="463">
        <f t="shared" si="141"/>
        <v>2.4514021395684814E-3</v>
      </c>
      <c r="BK104" s="463">
        <f t="shared" si="142"/>
        <v>9.0143194810817593E-3</v>
      </c>
      <c r="BL104">
        <f t="shared" si="143"/>
        <v>4.3499999999999997E-3</v>
      </c>
      <c r="BM104">
        <f t="shared" si="144"/>
        <v>4.9028042791369625E-6</v>
      </c>
      <c r="BN104">
        <f t="shared" si="179"/>
        <v>5.268601392928262E-2</v>
      </c>
      <c r="BO104" s="147">
        <f t="shared" si="164"/>
        <v>52.686013929282623</v>
      </c>
      <c r="BP104" s="153">
        <f t="shared" si="146"/>
        <v>9.7174282731817663E-2</v>
      </c>
      <c r="BQ104" s="153">
        <f t="shared" si="147"/>
        <v>9.7329563980674813E-2</v>
      </c>
      <c r="BR104" s="463"/>
      <c r="BT104" s="147">
        <f t="shared" si="165"/>
        <v>194.5038467124925</v>
      </c>
      <c r="BU104" s="463">
        <f t="shared" si="148"/>
        <v>4.6685430151784661E-2</v>
      </c>
      <c r="BV104" s="463">
        <f t="shared" si="149"/>
        <v>7.7691469544263952E-2</v>
      </c>
      <c r="BW104" s="463">
        <f t="shared" si="150"/>
        <v>3.8947358626096082E-3</v>
      </c>
      <c r="BX104" s="463">
        <f t="shared" si="151"/>
        <v>0</v>
      </c>
      <c r="BY104" s="463">
        <f t="shared" si="180"/>
        <v>0.14515376064856778</v>
      </c>
      <c r="BZ104" s="463">
        <f t="shared" si="166"/>
        <v>0.12827163555865823</v>
      </c>
      <c r="CA104" s="549">
        <f t="shared" si="153"/>
        <v>3.6587735763334565E-2</v>
      </c>
      <c r="CB104" s="147">
        <f t="shared" si="167"/>
        <v>181.74149641190235</v>
      </c>
      <c r="CC104" s="153">
        <f t="shared" si="168"/>
        <v>0.42893135705367746</v>
      </c>
      <c r="CD104" s="5">
        <f t="shared" si="169"/>
        <v>3.069</v>
      </c>
      <c r="CE104" s="153">
        <f t="shared" si="170"/>
        <v>0.8773757077340224</v>
      </c>
      <c r="CF104" s="5">
        <f t="shared" si="171"/>
        <v>87.73757077340224</v>
      </c>
      <c r="CG104">
        <f t="shared" si="172"/>
        <v>99</v>
      </c>
      <c r="CI104" s="59">
        <f t="shared" si="154"/>
        <v>-50</v>
      </c>
      <c r="CJ104">
        <f t="shared" si="155"/>
        <v>-50</v>
      </c>
    </row>
    <row r="105" spans="5:88" x14ac:dyDescent="0.25">
      <c r="E105" s="150">
        <v>100</v>
      </c>
      <c r="F105" s="191">
        <f t="shared" si="182"/>
        <v>0.1</v>
      </c>
      <c r="G105" s="191">
        <f t="shared" si="156"/>
        <v>0.1</v>
      </c>
      <c r="H105" s="191">
        <f t="shared" si="105"/>
        <v>1.5</v>
      </c>
      <c r="I105" s="191">
        <f t="shared" si="174"/>
        <v>1.6</v>
      </c>
      <c r="J105" s="472">
        <f t="shared" si="106"/>
        <v>15</v>
      </c>
      <c r="K105" s="386">
        <f t="shared" si="107"/>
        <v>12.69725019150566</v>
      </c>
      <c r="L105" s="386">
        <f t="shared" si="108"/>
        <v>30.32</v>
      </c>
      <c r="M105" s="386"/>
      <c r="N105" s="191">
        <f t="shared" si="109"/>
        <v>0.50527704485488123</v>
      </c>
      <c r="O105" s="152">
        <f t="shared" si="181"/>
        <v>1.237725019150566</v>
      </c>
      <c r="P105" s="152">
        <f t="shared" si="110"/>
        <v>2.7284960422163587</v>
      </c>
      <c r="Q105" s="191">
        <f t="shared" si="111"/>
        <v>8.25150012767044E-2</v>
      </c>
      <c r="R105" s="191">
        <f t="shared" si="112"/>
        <v>7.7357813696910374E-2</v>
      </c>
      <c r="S105" s="386">
        <f t="shared" si="113"/>
        <v>12.377250191505659</v>
      </c>
      <c r="T105" s="191">
        <f t="shared" si="114"/>
        <v>0.75</v>
      </c>
      <c r="U105" s="191">
        <f t="shared" si="115"/>
        <v>2.35</v>
      </c>
      <c r="V105" s="191">
        <f t="shared" si="116"/>
        <v>2.7761916531803013</v>
      </c>
      <c r="W105" s="175">
        <f t="shared" si="117"/>
        <v>350</v>
      </c>
      <c r="X105" s="386">
        <f t="shared" si="158"/>
        <v>195.07659246013512</v>
      </c>
      <c r="Z105" s="191">
        <f t="shared" si="118"/>
        <v>0.41802126955743235</v>
      </c>
      <c r="AA105" s="153">
        <f t="shared" si="119"/>
        <v>1.5473428791962356</v>
      </c>
      <c r="AB105" s="153">
        <f t="shared" si="175"/>
        <v>0.11319389109039604</v>
      </c>
      <c r="AC105" s="153"/>
      <c r="AD105" s="153">
        <f t="shared" si="121"/>
        <v>0.55523833063606021</v>
      </c>
      <c r="AE105" s="317">
        <f t="shared" si="176"/>
        <v>2401.3711946109997</v>
      </c>
      <c r="AF105" s="463">
        <f t="shared" si="123"/>
        <v>1.4575006179196581E-2</v>
      </c>
      <c r="AH105" s="153">
        <f t="shared" si="124"/>
        <v>0.61392157157786231</v>
      </c>
      <c r="AI105" s="153">
        <f t="shared" si="177"/>
        <v>0.61392157157786231</v>
      </c>
      <c r="AJ105" s="153">
        <f t="shared" si="178"/>
        <v>1.5436456085761943</v>
      </c>
      <c r="AL105" s="317">
        <f t="shared" si="127"/>
        <v>100</v>
      </c>
      <c r="AM105" s="147">
        <f t="shared" si="128"/>
        <v>195.07659246013512</v>
      </c>
      <c r="AO105" t="str">
        <f t="shared" si="159"/>
        <v/>
      </c>
      <c r="AP105" s="3" t="str">
        <f t="shared" si="129"/>
        <v/>
      </c>
      <c r="AR105" s="5">
        <f t="shared" si="160"/>
        <v>5.1261916531803022</v>
      </c>
      <c r="AS105" s="5">
        <f t="shared" si="130"/>
        <v>1.9236209242773019</v>
      </c>
      <c r="AT105" s="5">
        <f t="shared" si="161"/>
        <v>3.2025707289030003</v>
      </c>
      <c r="AU105" s="153">
        <f t="shared" si="162"/>
        <v>0.37525341509303162</v>
      </c>
      <c r="AW105" s="5">
        <f t="shared" si="131"/>
        <v>0.96692791308641945</v>
      </c>
      <c r="AX105" s="5">
        <f t="shared" si="132"/>
        <v>14.803918696296293</v>
      </c>
      <c r="AY105" s="5">
        <f t="shared" si="133"/>
        <v>0.96440494504700414</v>
      </c>
      <c r="AZ105" s="5">
        <f t="shared" si="134"/>
        <v>7.2138541457963932</v>
      </c>
      <c r="BA105" s="5">
        <f t="shared" si="135"/>
        <v>0.98054017378758529</v>
      </c>
      <c r="BB105" s="147">
        <f t="shared" si="136"/>
        <v>74.229401922957791</v>
      </c>
      <c r="BC105" s="5"/>
      <c r="BD105" s="153">
        <f t="shared" si="163"/>
        <v>0.21712738050107427</v>
      </c>
      <c r="BE105" s="153">
        <f t="shared" si="137"/>
        <v>0.28015876329851347</v>
      </c>
      <c r="BF105" s="153">
        <f t="shared" si="138"/>
        <v>0.28052498390413239</v>
      </c>
      <c r="BG105" s="153"/>
      <c r="BH105" s="463">
        <f t="shared" si="139"/>
        <v>1.65005047771404E-2</v>
      </c>
      <c r="BI105" s="463">
        <f t="shared" si="140"/>
        <v>1.8155877998330936E-2</v>
      </c>
      <c r="BJ105" s="463">
        <f t="shared" si="141"/>
        <v>2.438457405751689E-3</v>
      </c>
      <c r="BK105" s="463">
        <f t="shared" si="142"/>
        <v>8.9667189816212065E-3</v>
      </c>
      <c r="BL105">
        <f t="shared" si="143"/>
        <v>4.3499999999999997E-3</v>
      </c>
      <c r="BM105">
        <f t="shared" si="144"/>
        <v>4.8769148115033776E-6</v>
      </c>
      <c r="BN105">
        <f t="shared" si="179"/>
        <v>5.2804760031074587E-2</v>
      </c>
      <c r="BO105" s="147">
        <f t="shared" si="164"/>
        <v>52.804760031074586</v>
      </c>
      <c r="BP105" s="153">
        <f t="shared" si="146"/>
        <v>9.8165544546855721E-2</v>
      </c>
      <c r="BQ105" s="153">
        <f t="shared" si="147"/>
        <v>9.8322419678132114E-2</v>
      </c>
      <c r="BR105" s="463"/>
      <c r="BT105" s="147">
        <f t="shared" si="165"/>
        <v>196.48796422498782</v>
      </c>
      <c r="BU105" s="463">
        <f t="shared" si="148"/>
        <v>4.7144299363258292E-2</v>
      </c>
      <c r="BV105" s="463">
        <f t="shared" si="149"/>
        <v>7.8488932652952495E-2</v>
      </c>
      <c r="BW105" s="463">
        <f t="shared" si="150"/>
        <v>3.9347133297206868E-3</v>
      </c>
      <c r="BX105" s="463">
        <f t="shared" si="151"/>
        <v>0</v>
      </c>
      <c r="BY105" s="463">
        <f t="shared" si="180"/>
        <v>0.14663604527544263</v>
      </c>
      <c r="BZ105" s="463">
        <f t="shared" si="166"/>
        <v>0.12956794534593147</v>
      </c>
      <c r="CA105" s="549">
        <f t="shared" si="153"/>
        <v>3.6762154202213931E-2</v>
      </c>
      <c r="CB105" s="147">
        <f t="shared" si="167"/>
        <v>183.39819947765656</v>
      </c>
      <c r="CC105" s="153">
        <f t="shared" si="168"/>
        <v>0.43269092373371898</v>
      </c>
      <c r="CD105" s="5">
        <f t="shared" si="169"/>
        <v>3.1</v>
      </c>
      <c r="CE105" s="153">
        <f t="shared" si="170"/>
        <v>0.87751803566319198</v>
      </c>
      <c r="CF105" s="5">
        <f t="shared" si="171"/>
        <v>87.751803566319197</v>
      </c>
      <c r="CG105">
        <f t="shared" si="172"/>
        <v>100</v>
      </c>
      <c r="CI105" s="59">
        <f t="shared" si="154"/>
        <v>-50</v>
      </c>
      <c r="CJ105">
        <f t="shared" si="155"/>
        <v>-50</v>
      </c>
    </row>
    <row r="106" spans="5:88" x14ac:dyDescent="0.25">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5">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5">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3">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5">
      <c r="E110" s="150">
        <v>0.1</v>
      </c>
      <c r="F110" s="191">
        <v>1.0000000000000001E-9</v>
      </c>
      <c r="G110" s="191">
        <f t="shared" ref="G110:G141" si="183">IF(PLOT_TYPE=1, E110/100*Iout2, min_I*EXP(Q110*rr/100))</f>
        <v>1E-4</v>
      </c>
      <c r="H110" s="191">
        <f t="shared" ref="H110:H141" si="184">F110*Vout</f>
        <v>1.5000000000000002E-8</v>
      </c>
      <c r="I110" s="191">
        <f t="shared" ref="I110:I141" si="185">Vout2*G110</f>
        <v>1.6000000000000001E-3</v>
      </c>
      <c r="J110" s="472">
        <f t="shared" ref="J110:J173" si="186">VIN_min</f>
        <v>13</v>
      </c>
      <c r="K110" s="386">
        <f t="shared" ref="K110:K173" si="187">(S110+Vfwd1)*Nps</f>
        <v>15.32</v>
      </c>
      <c r="L110" s="386">
        <f t="shared" ref="L110:L173" si="188">(Vout+Vfwd1)*Nps+J110</f>
        <v>28.32</v>
      </c>
      <c r="M110" s="386"/>
      <c r="N110" s="191">
        <f t="shared" ref="N110:N173" si="189">(Vout+Vfwd1)*Nps/((Vout+Vfwd1)*Nps+J110)</f>
        <v>0.54096045197740117</v>
      </c>
      <c r="O110" s="152">
        <f t="shared" ref="O110:O141" si="190">N110*J110*Isw_max*0.5*Efficiency*Pout/(Pout+Pout2)</f>
        <v>1.1484503143794424</v>
      </c>
      <c r="P110" s="152">
        <f t="shared" ref="P110:P141" si="191">N110*J110*Isw_max*0.5*Efficiency*(Pout2/Pout_total)</f>
        <v>2.5316949152542376</v>
      </c>
      <c r="Q110" s="191">
        <f t="shared" ref="Q110:Q173" si="192">O110/Vout</f>
        <v>7.6563354291962829E-2</v>
      </c>
      <c r="R110" s="191">
        <f t="shared" ref="R110:R141" si="193">O110/Vout2</f>
        <v>7.1778144648715153E-2</v>
      </c>
      <c r="S110" s="191">
        <f t="shared" ref="S110:S141" si="194">MIN(Vout,O110/F110)</f>
        <v>15</v>
      </c>
      <c r="T110" s="191">
        <f t="shared" ref="T110:T141" si="195">MIN(2*(Vout*F110+Vout2*G110)/(Efficiency*J110*N110), Isw_max)</f>
        <v>5.0559488518444121E-4</v>
      </c>
      <c r="U110" s="191">
        <f t="shared" ref="U110:U173" si="196">L*T110/J110*1000000</f>
        <v>1.8279199695129796E-3</v>
      </c>
      <c r="V110" s="191">
        <f t="shared" ref="V110:V173" si="197">L*T110/K110*1000000</f>
        <v>1.551107023738168E-3</v>
      </c>
      <c r="W110" s="175">
        <f t="shared" ref="W110:W173" si="198">IF(1/((350000*L)*(1/J110+1/K110))&gt;Isw_min, 350, 0.001/((Isw_min*L)*(1/J110+1/K110)))</f>
        <v>350</v>
      </c>
      <c r="X110" s="386">
        <f t="shared" ref="X110:X173" si="199">MIN(1/(U110+V110)*1000, 350)</f>
        <v>350</v>
      </c>
      <c r="Z110" s="191">
        <f t="shared" ref="Z110:Z173" si="200">1/((W110*1000*L)*(1/J110+1/K110))</f>
        <v>0.42750674016451157</v>
      </c>
      <c r="AA110" s="153">
        <f t="shared" ref="AA110:AA173" si="201">L*Z110/K110*1000000</f>
        <v>1.3115415657788541</v>
      </c>
      <c r="AB110" s="153">
        <f t="shared" ref="AB110:AB141" si="202">0.5*AA110*Z110*Nps*W110/1000*(Pout/(Pout+Pout2))</f>
        <v>4.7478024382677106E-2</v>
      </c>
      <c r="AC110" s="153"/>
      <c r="AD110" s="153">
        <f t="shared" ref="AD110:AD173" si="203">L*Isw_min/K110*1000000</f>
        <v>0.46018276762402083</v>
      </c>
      <c r="AE110" s="317">
        <f t="shared" ref="AE110:AE141" si="204">MAX(10, F110/(0.5*AD110/1000000*Isw_min*Nps)/1000*Pout_total/Pout)</f>
        <v>10</v>
      </c>
      <c r="AF110" s="463">
        <f t="shared" ref="AF110:AF141" si="205">0.5*AD110/1000000*Isw_min*Nps*W110*1000*(Pout/Pout_total)</f>
        <v>1.2079797650130546E-2</v>
      </c>
      <c r="AH110" s="153">
        <f t="shared" ref="AH110:AH141" si="206">SQRT((H110+I110)/(0.5*L*Fsw_DCM))</f>
        <v>1.3947426253189005E-2</v>
      </c>
      <c r="AI110" s="153">
        <f t="shared" ref="AI110:AI141" si="207">MAX(IF(F110&gt;AB110,T110,AH110),Isw_min)</f>
        <v>0.15</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0.54230769230769227</v>
      </c>
      <c r="AT110" s="5">
        <f t="shared" ref="AT110:AT114" si="214">AR110-AS110</f>
        <v>99.457692307692312</v>
      </c>
      <c r="AU110" s="153">
        <f t="shared" ref="AU110:AU114" si="215">AS110/AR110</f>
        <v>5.4230769230769228E-3</v>
      </c>
      <c r="AW110" s="5">
        <f t="shared" ref="AW110:AW169" si="216">F110*AS110/Vout_ripple*1000</f>
        <v>3.6153846153846154E-9</v>
      </c>
      <c r="AX110" s="5"/>
      <c r="AY110" s="5">
        <f t="shared" ref="AY110:AY169" si="217">G110*AS110/Vout_ripple2*1000</f>
        <v>3.3894230769230773E-4</v>
      </c>
      <c r="AZ110" s="5"/>
      <c r="BA110" s="5">
        <f t="shared" ref="BA110:BA169" si="218">H110/Efficiency/J110*AT110/Vinripple1</f>
        <v>1.7001314924391848E-7</v>
      </c>
      <c r="BB110" s="5"/>
      <c r="BC110" s="5"/>
      <c r="BD110" s="153">
        <f t="shared" ref="BD110:BD169" si="219">AI110*SQRT(AU110/3)</f>
        <v>6.3775447409702207E-3</v>
      </c>
      <c r="BE110" s="153">
        <f t="shared" ref="BE110:BE169" si="220">AI110*Npri_sec1*SQRT((1-AU110)/3)*(Pout/Pout_total)</f>
        <v>8.6367395023104185E-2</v>
      </c>
      <c r="BF110" s="153">
        <f t="shared" ref="BF110:BF169" si="221">AI110*Npri_sec2*SQRT((1-AU110)/3)*(Pout2/Pout_total)</f>
        <v>8.6480293578689943E-2</v>
      </c>
      <c r="BG110" s="153"/>
      <c r="BH110" s="463">
        <f t="shared" ref="BH110:BH169" si="222">Rdson*BD110^2</f>
        <v>1.423557692307692E-5</v>
      </c>
      <c r="BI110" s="463">
        <f t="shared" ref="BI110:BI169" si="223">0.5*L110*AI110*AM110*1000*Trise</f>
        <v>2.1240000000000004E-4</v>
      </c>
      <c r="BJ110" s="463">
        <f t="shared" ref="BJ110:BJ169" si="224">Qg*Vdd*AM110*1000</f>
        <v>1.25E-4</v>
      </c>
      <c r="BK110" s="463">
        <f t="shared" ref="BK110:BK169" si="225">0.5*(Coss+Csw)*L110^2*AM110*1000</f>
        <v>4.0101120000000001E-4</v>
      </c>
      <c r="BL110">
        <f t="shared" ref="BL110:BL169" si="226">J110*IQ</f>
        <v>3.7699999999999999E-3</v>
      </c>
      <c r="BM110">
        <f t="shared" ref="BM110:BM141" si="227">(J110-Vdd)*Qg*AM110</f>
        <v>1.9999999999999999E-7</v>
      </c>
      <c r="BN110">
        <f t="shared" ref="BN110:BN141" si="228">(BI110+BJ110+BK110+BL110+BM110+BH110*(1+RdsonTC*(Ta-25)))/(1-BH110*RdsonTC*ThetaJA)</f>
        <v>4.5247804639804269E-3</v>
      </c>
      <c r="BO110" s="147">
        <f t="shared" ref="BO110:BO169" si="229">SUM(BH110:BL110)*1000</f>
        <v>4.5226467769230769</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4.0673076923076919E-5</v>
      </c>
      <c r="BV110" s="463">
        <f t="shared" ref="BV110:BV169" si="234">Rdcr_sec*BE110^2</f>
        <v>7.4593269230769218E-3</v>
      </c>
      <c r="BW110" s="463">
        <f t="shared" ref="BW110:BW169" si="235">Rdcr_sec2*BF110^2</f>
        <v>3.7394205887282008E-4</v>
      </c>
      <c r="BX110" s="463">
        <f t="shared" ref="BX110:BX169" si="236">AI110^2.5*AM110^2.5*k_core</f>
        <v>0</v>
      </c>
      <c r="BY110" s="463">
        <f t="shared" si="180"/>
        <v>8.8243737145242782E-3</v>
      </c>
      <c r="BZ110" s="463">
        <f t="shared" si="166"/>
        <v>7.8739420588728182E-3</v>
      </c>
      <c r="CA110" s="549">
        <f t="shared" ref="CA110:CA141" si="237">0.5*Lleak*0.000000001*AI110^2*AM110*1000</f>
        <v>1.1250000000000001E-4</v>
      </c>
      <c r="CB110" s="147">
        <f t="shared" ref="CB110:CB169" si="238">SUM(BU110:CA110)*1000</f>
        <v>24.684757832269913</v>
      </c>
      <c r="CC110" s="153">
        <f t="shared" si="168"/>
        <v>1.3501654578504706E-2</v>
      </c>
      <c r="CD110" s="5">
        <f t="shared" ref="CD110:CD169" si="239">MIN(H110+I110,O110+P110)</f>
        <v>1.600015E-3</v>
      </c>
      <c r="CE110" s="153">
        <f t="shared" ref="CE110:CE169" si="240">CD110/(CD110+CC110)</f>
        <v>0.10594954363704372</v>
      </c>
      <c r="CF110" s="5">
        <f t="shared" ref="CF110:CF169" si="241">CE110*100</f>
        <v>10.594954363704371</v>
      </c>
      <c r="CG110">
        <f t="shared" ref="CG110:CG169" si="242">F110/Iout*100</f>
        <v>9.9999999999999995E-7</v>
      </c>
      <c r="CI110" s="59">
        <f t="shared" ref="CI110:CI141" si="243">IF(ABS(F110-Ioutmax_Vinmin)&lt;Iout/200, AM110, -50)</f>
        <v>-50</v>
      </c>
      <c r="CJ110">
        <f t="shared" ref="CJ110:CJ141" si="244">IF(ABS(F110-Ioutmax_Vinmin)&lt;Iout/200, (O110+P110)*CE110, -50)</f>
        <v>-50</v>
      </c>
    </row>
    <row r="111" spans="5:88" x14ac:dyDescent="0.25">
      <c r="E111" s="150">
        <v>1</v>
      </c>
      <c r="F111" s="191">
        <f t="shared" ref="F111:F142" si="245">IF(PLOT_TYPE=1, E111/100*Iout_max, min_I*EXP(O111*rr/100))</f>
        <v>1E-3</v>
      </c>
      <c r="G111" s="191">
        <f t="shared" si="183"/>
        <v>1E-3</v>
      </c>
      <c r="H111" s="191">
        <f t="shared" si="184"/>
        <v>1.4999999999999999E-2</v>
      </c>
      <c r="I111" s="191">
        <f t="shared" si="185"/>
        <v>1.6E-2</v>
      </c>
      <c r="J111" s="472">
        <f t="shared" si="186"/>
        <v>13</v>
      </c>
      <c r="K111" s="386">
        <f t="shared" si="187"/>
        <v>15.32</v>
      </c>
      <c r="L111" s="386">
        <f t="shared" si="188"/>
        <v>28.32</v>
      </c>
      <c r="M111" s="386"/>
      <c r="N111" s="191">
        <f t="shared" si="189"/>
        <v>0.54096045197740117</v>
      </c>
      <c r="O111" s="152">
        <f t="shared" si="190"/>
        <v>1.1484503143794424</v>
      </c>
      <c r="P111" s="152">
        <f t="shared" si="191"/>
        <v>2.5316949152542376</v>
      </c>
      <c r="Q111" s="191">
        <f t="shared" si="192"/>
        <v>7.6563354291962829E-2</v>
      </c>
      <c r="R111" s="191">
        <f t="shared" si="193"/>
        <v>7.1778144648715153E-2</v>
      </c>
      <c r="S111" s="191">
        <f t="shared" si="194"/>
        <v>15</v>
      </c>
      <c r="T111" s="191">
        <f t="shared" si="195"/>
        <v>9.795809064738566E-3</v>
      </c>
      <c r="U111" s="191">
        <f t="shared" si="196"/>
        <v>3.5415617387900965E-2</v>
      </c>
      <c r="V111" s="191">
        <f t="shared" si="197"/>
        <v>3.0052416843519093E-2</v>
      </c>
      <c r="W111" s="175">
        <f t="shared" si="198"/>
        <v>350</v>
      </c>
      <c r="X111" s="386">
        <f t="shared" si="199"/>
        <v>350</v>
      </c>
      <c r="Z111" s="191">
        <f t="shared" si="200"/>
        <v>0.42750674016451157</v>
      </c>
      <c r="AA111" s="153">
        <f t="shared" si="201"/>
        <v>1.3115415657788541</v>
      </c>
      <c r="AB111" s="153">
        <f t="shared" si="202"/>
        <v>4.7478024382677106E-2</v>
      </c>
      <c r="AC111" s="153"/>
      <c r="AD111" s="153">
        <f t="shared" si="203"/>
        <v>0.46018276762402083</v>
      </c>
      <c r="AE111" s="317">
        <f t="shared" si="204"/>
        <v>28.973995271867622</v>
      </c>
      <c r="AF111" s="463">
        <f t="shared" si="205"/>
        <v>1.2079797650130546E-2</v>
      </c>
      <c r="AH111" s="153">
        <f t="shared" si="206"/>
        <v>6.1392157157786224E-2</v>
      </c>
      <c r="AI111" s="153">
        <f t="shared" si="207"/>
        <v>0.15</v>
      </c>
      <c r="AJ111" s="153">
        <f t="shared" si="208"/>
        <v>1.0165565687267815</v>
      </c>
      <c r="AL111" s="317">
        <f t="shared" si="209"/>
        <v>1</v>
      </c>
      <c r="AM111" s="147">
        <f t="shared" si="210"/>
        <v>28.973995271867622</v>
      </c>
      <c r="AO111" s="147">
        <f t="shared" si="211"/>
        <v>1</v>
      </c>
      <c r="AP111" s="147">
        <f t="shared" si="212"/>
        <v>28.973995271867622</v>
      </c>
      <c r="AR111" s="5">
        <f t="shared" si="160"/>
        <v>34.513707571801554</v>
      </c>
      <c r="AS111" s="5">
        <f t="shared" si="213"/>
        <v>0.54230769230769227</v>
      </c>
      <c r="AT111" s="5">
        <f t="shared" si="214"/>
        <v>33.971399879493859</v>
      </c>
      <c r="AU111" s="153">
        <f t="shared" si="215"/>
        <v>1.5712820512820518E-2</v>
      </c>
      <c r="AW111" s="5">
        <f t="shared" si="216"/>
        <v>3.6153846153846154E-3</v>
      </c>
      <c r="AX111" s="5"/>
      <c r="AY111" s="5">
        <f t="shared" si="217"/>
        <v>3.3894230769230772E-3</v>
      </c>
      <c r="AZ111" s="5"/>
      <c r="BA111" s="5">
        <f t="shared" si="218"/>
        <v>5.8070769024775822E-2</v>
      </c>
      <c r="BB111" s="5"/>
      <c r="BC111" s="5"/>
      <c r="BD111" s="153">
        <f t="shared" si="219"/>
        <v>1.0855696838349619E-2</v>
      </c>
      <c r="BE111" s="153">
        <f t="shared" si="220"/>
        <v>8.5919461393527408E-2</v>
      </c>
      <c r="BF111" s="153">
        <f t="shared" si="221"/>
        <v>8.6031774414956852E-2</v>
      </c>
      <c r="BG111" s="153"/>
      <c r="BH111" s="463">
        <f t="shared" si="222"/>
        <v>4.1246153846153866E-5</v>
      </c>
      <c r="BI111" s="463">
        <f t="shared" si="223"/>
        <v>6.1540765957446828E-4</v>
      </c>
      <c r="BJ111" s="463">
        <f t="shared" si="224"/>
        <v>3.6217494089834523E-4</v>
      </c>
      <c r="BK111" s="463">
        <f t="shared" si="225"/>
        <v>1.1618896612765961E-3</v>
      </c>
      <c r="BL111">
        <f t="shared" si="226"/>
        <v>3.7699999999999999E-3</v>
      </c>
      <c r="BM111">
        <f t="shared" si="227"/>
        <v>5.7947990543735241E-7</v>
      </c>
      <c r="BN111">
        <f t="shared" si="228"/>
        <v>5.9569114578623796E-3</v>
      </c>
      <c r="BO111" s="147">
        <f t="shared" si="229"/>
        <v>5.9507184155955635</v>
      </c>
      <c r="BP111" s="153">
        <f t="shared" si="230"/>
        <v>4.0000000000000002E-4</v>
      </c>
      <c r="BQ111" s="153">
        <f t="shared" si="231"/>
        <v>4.0000000000000002E-4</v>
      </c>
      <c r="BR111" s="463"/>
      <c r="BT111" s="147">
        <f t="shared" si="232"/>
        <v>0.8</v>
      </c>
      <c r="BU111" s="463">
        <f t="shared" si="233"/>
        <v>1.1784615384615391E-4</v>
      </c>
      <c r="BV111" s="463">
        <f t="shared" si="234"/>
        <v>7.3821538461538464E-3</v>
      </c>
      <c r="BW111" s="463">
        <f t="shared" si="235"/>
        <v>3.7007331044930125E-4</v>
      </c>
      <c r="BX111" s="463">
        <f t="shared" si="236"/>
        <v>0</v>
      </c>
      <c r="BY111" s="463">
        <f t="shared" si="180"/>
        <v>8.8200352536269618E-3</v>
      </c>
      <c r="BZ111" s="463">
        <f t="shared" si="166"/>
        <v>7.8700733104493017E-3</v>
      </c>
      <c r="CA111" s="549">
        <f t="shared" si="237"/>
        <v>3.259574468085108E-4</v>
      </c>
      <c r="CB111" s="147">
        <f t="shared" si="238"/>
        <v>24.886139321334074</v>
      </c>
      <c r="CC111" s="153">
        <f t="shared" si="168"/>
        <v>1.5902904158297853E-2</v>
      </c>
      <c r="CD111" s="5">
        <f t="shared" si="239"/>
        <v>3.1E-2</v>
      </c>
      <c r="CE111" s="153">
        <f t="shared" si="240"/>
        <v>0.66093988328259234</v>
      </c>
      <c r="CF111" s="5">
        <f t="shared" si="241"/>
        <v>66.093988328259229</v>
      </c>
      <c r="CG111">
        <f t="shared" si="242"/>
        <v>1</v>
      </c>
      <c r="CI111" s="59">
        <f t="shared" si="243"/>
        <v>-50</v>
      </c>
      <c r="CJ111">
        <f t="shared" si="244"/>
        <v>-50</v>
      </c>
    </row>
    <row r="112" spans="5:88" x14ac:dyDescent="0.25">
      <c r="E112" s="150">
        <v>2</v>
      </c>
      <c r="F112" s="191">
        <f t="shared" si="245"/>
        <v>2E-3</v>
      </c>
      <c r="G112" s="191">
        <f t="shared" si="183"/>
        <v>2E-3</v>
      </c>
      <c r="H112" s="191">
        <f t="shared" si="184"/>
        <v>0.03</v>
      </c>
      <c r="I112" s="191">
        <f t="shared" si="185"/>
        <v>3.2000000000000001E-2</v>
      </c>
      <c r="J112" s="472">
        <f t="shared" si="186"/>
        <v>13</v>
      </c>
      <c r="K112" s="386">
        <f t="shared" si="187"/>
        <v>15.32</v>
      </c>
      <c r="L112" s="386">
        <f t="shared" si="188"/>
        <v>28.32</v>
      </c>
      <c r="M112" s="386"/>
      <c r="N112" s="191">
        <f t="shared" si="189"/>
        <v>0.54096045197740117</v>
      </c>
      <c r="O112" s="152">
        <f t="shared" si="190"/>
        <v>1.1484503143794424</v>
      </c>
      <c r="P112" s="152">
        <f t="shared" si="191"/>
        <v>2.5316949152542376</v>
      </c>
      <c r="Q112" s="191">
        <f t="shared" si="192"/>
        <v>7.6563354291962829E-2</v>
      </c>
      <c r="R112" s="191">
        <f t="shared" si="193"/>
        <v>7.1778144648715153E-2</v>
      </c>
      <c r="S112" s="191">
        <f t="shared" si="194"/>
        <v>15</v>
      </c>
      <c r="T112" s="191">
        <f t="shared" si="195"/>
        <v>1.9591618129477132E-2</v>
      </c>
      <c r="U112" s="191">
        <f t="shared" si="196"/>
        <v>7.083123477580193E-2</v>
      </c>
      <c r="V112" s="191">
        <f t="shared" si="197"/>
        <v>6.0104833687038187E-2</v>
      </c>
      <c r="W112" s="175">
        <f t="shared" si="198"/>
        <v>350</v>
      </c>
      <c r="X112" s="386">
        <f t="shared" si="199"/>
        <v>350</v>
      </c>
      <c r="Z112" s="191">
        <f t="shared" si="200"/>
        <v>0.42750674016451157</v>
      </c>
      <c r="AA112" s="153">
        <f t="shared" si="201"/>
        <v>1.3115415657788541</v>
      </c>
      <c r="AB112" s="153">
        <f t="shared" si="202"/>
        <v>4.7478024382677106E-2</v>
      </c>
      <c r="AC112" s="153"/>
      <c r="AD112" s="153">
        <f t="shared" si="203"/>
        <v>0.46018276762402083</v>
      </c>
      <c r="AE112" s="317">
        <f t="shared" si="204"/>
        <v>57.947990543735244</v>
      </c>
      <c r="AF112" s="463">
        <f t="shared" si="205"/>
        <v>1.2079797650130546E-2</v>
      </c>
      <c r="AH112" s="153">
        <f t="shared" si="206"/>
        <v>8.6821621275881763E-2</v>
      </c>
      <c r="AI112" s="153">
        <f t="shared" si="207"/>
        <v>0.15</v>
      </c>
      <c r="AJ112" s="153">
        <f t="shared" si="208"/>
        <v>1.0331131374535629</v>
      </c>
      <c r="AL112" s="317">
        <f t="shared" si="209"/>
        <v>2</v>
      </c>
      <c r="AM112" s="147">
        <f t="shared" si="210"/>
        <v>57.947990543735244</v>
      </c>
      <c r="AO112" s="147">
        <f t="shared" si="211"/>
        <v>2</v>
      </c>
      <c r="AP112" s="147">
        <f t="shared" si="212"/>
        <v>57.947990543735244</v>
      </c>
      <c r="AR112" s="5">
        <f t="shared" si="160"/>
        <v>17.256853785900777</v>
      </c>
      <c r="AS112" s="5">
        <f t="shared" si="213"/>
        <v>0.54230769230769227</v>
      </c>
      <c r="AT112" s="5">
        <f t="shared" si="214"/>
        <v>16.714546093593086</v>
      </c>
      <c r="AU112" s="153">
        <f t="shared" si="215"/>
        <v>3.1425641025641035E-2</v>
      </c>
      <c r="AW112" s="5">
        <f t="shared" si="216"/>
        <v>7.2307692307692307E-3</v>
      </c>
      <c r="AX112" s="5"/>
      <c r="AY112" s="5">
        <f t="shared" si="217"/>
        <v>6.7788461538461544E-3</v>
      </c>
      <c r="AZ112" s="5"/>
      <c r="BA112" s="5">
        <f t="shared" si="218"/>
        <v>5.714374732852337E-2</v>
      </c>
      <c r="BB112" s="5"/>
      <c r="BC112" s="5"/>
      <c r="BD112" s="153">
        <f t="shared" si="219"/>
        <v>1.5352273697804758E-2</v>
      </c>
      <c r="BE112" s="153">
        <f t="shared" si="220"/>
        <v>8.5230908080975484E-2</v>
      </c>
      <c r="BF112" s="153">
        <f t="shared" si="221"/>
        <v>8.5342321032715329E-2</v>
      </c>
      <c r="BG112" s="153"/>
      <c r="BH112" s="463">
        <f t="shared" si="222"/>
        <v>8.2492307692307718E-5</v>
      </c>
      <c r="BI112" s="463">
        <f t="shared" si="223"/>
        <v>1.2308153191489366E-3</v>
      </c>
      <c r="BJ112" s="463">
        <f t="shared" si="224"/>
        <v>7.2434988179669046E-4</v>
      </c>
      <c r="BK112" s="463">
        <f t="shared" si="225"/>
        <v>2.3237793225531923E-3</v>
      </c>
      <c r="BL112">
        <f t="shared" si="226"/>
        <v>3.7699999999999999E-3</v>
      </c>
      <c r="BM112">
        <f t="shared" si="227"/>
        <v>1.1589598108747048E-6</v>
      </c>
      <c r="BN112">
        <f t="shared" si="228"/>
        <v>8.1438562006536461E-3</v>
      </c>
      <c r="BO112" s="147">
        <f t="shared" si="229"/>
        <v>8.1314368311911274</v>
      </c>
      <c r="BP112" s="153">
        <f t="shared" si="230"/>
        <v>8.0000000000000004E-4</v>
      </c>
      <c r="BQ112" s="153">
        <f t="shared" si="231"/>
        <v>8.0000000000000004E-4</v>
      </c>
      <c r="BR112" s="463"/>
      <c r="BT112" s="147">
        <f t="shared" si="232"/>
        <v>1.6</v>
      </c>
      <c r="BU112" s="463">
        <f t="shared" si="233"/>
        <v>2.3569230769230777E-4</v>
      </c>
      <c r="BV112" s="463">
        <f t="shared" si="234"/>
        <v>7.2643076923076923E-3</v>
      </c>
      <c r="BW112" s="463">
        <f t="shared" si="235"/>
        <v>3.641655879625523E-4</v>
      </c>
      <c r="BX112" s="463">
        <f t="shared" si="236"/>
        <v>0</v>
      </c>
      <c r="BY112" s="463">
        <f t="shared" si="180"/>
        <v>8.8134102679373952E-3</v>
      </c>
      <c r="BZ112" s="463">
        <f t="shared" si="166"/>
        <v>7.8641655879625513E-3</v>
      </c>
      <c r="CA112" s="549">
        <f t="shared" si="237"/>
        <v>6.519148936170216E-4</v>
      </c>
      <c r="CB112" s="147">
        <f t="shared" si="238"/>
        <v>25.193656337479521</v>
      </c>
      <c r="CC112" s="153">
        <f t="shared" si="168"/>
        <v>1.9209181362208064E-2</v>
      </c>
      <c r="CD112" s="5">
        <f t="shared" si="239"/>
        <v>6.2E-2</v>
      </c>
      <c r="CE112" s="153">
        <f t="shared" si="240"/>
        <v>0.76346047281856544</v>
      </c>
      <c r="CF112" s="5">
        <f t="shared" si="241"/>
        <v>76.346047281856542</v>
      </c>
      <c r="CG112">
        <f t="shared" si="242"/>
        <v>2</v>
      </c>
      <c r="CI112" s="59">
        <f t="shared" si="243"/>
        <v>-50</v>
      </c>
      <c r="CJ112">
        <f t="shared" si="244"/>
        <v>-50</v>
      </c>
    </row>
    <row r="113" spans="5:88" x14ac:dyDescent="0.25">
      <c r="E113" s="150">
        <v>3</v>
      </c>
      <c r="F113" s="191">
        <f t="shared" si="245"/>
        <v>3.0000000000000001E-3</v>
      </c>
      <c r="G113" s="191">
        <f t="shared" si="183"/>
        <v>3.0000000000000001E-3</v>
      </c>
      <c r="H113" s="191">
        <f t="shared" si="184"/>
        <v>4.4999999999999998E-2</v>
      </c>
      <c r="I113" s="191">
        <f t="shared" si="185"/>
        <v>4.8000000000000001E-2</v>
      </c>
      <c r="J113" s="472">
        <f t="shared" si="186"/>
        <v>13</v>
      </c>
      <c r="K113" s="386">
        <f t="shared" si="187"/>
        <v>15.32</v>
      </c>
      <c r="L113" s="386">
        <f t="shared" si="188"/>
        <v>28.32</v>
      </c>
      <c r="M113" s="386"/>
      <c r="N113" s="191">
        <f t="shared" si="189"/>
        <v>0.54096045197740117</v>
      </c>
      <c r="O113" s="152">
        <f t="shared" si="190"/>
        <v>1.1484503143794424</v>
      </c>
      <c r="P113" s="152">
        <f t="shared" si="191"/>
        <v>2.5316949152542376</v>
      </c>
      <c r="Q113" s="191">
        <f t="shared" si="192"/>
        <v>7.6563354291962829E-2</v>
      </c>
      <c r="R113" s="191">
        <f t="shared" si="193"/>
        <v>7.1778144648715153E-2</v>
      </c>
      <c r="S113" s="191">
        <f t="shared" si="194"/>
        <v>15</v>
      </c>
      <c r="T113" s="191">
        <f t="shared" si="195"/>
        <v>2.93874271942157E-2</v>
      </c>
      <c r="U113" s="191">
        <f t="shared" si="196"/>
        <v>0.10624685216370292</v>
      </c>
      <c r="V113" s="191">
        <f t="shared" si="197"/>
        <v>9.0157250530557301E-2</v>
      </c>
      <c r="W113" s="175">
        <f t="shared" si="198"/>
        <v>350</v>
      </c>
      <c r="X113" s="386">
        <f t="shared" si="199"/>
        <v>350</v>
      </c>
      <c r="Z113" s="191">
        <f t="shared" si="200"/>
        <v>0.42750674016451157</v>
      </c>
      <c r="AA113" s="153">
        <f t="shared" si="201"/>
        <v>1.3115415657788541</v>
      </c>
      <c r="AB113" s="153">
        <f t="shared" si="202"/>
        <v>4.7478024382677106E-2</v>
      </c>
      <c r="AC113" s="153"/>
      <c r="AD113" s="153">
        <f t="shared" si="203"/>
        <v>0.46018276762402083</v>
      </c>
      <c r="AE113" s="317">
        <f t="shared" si="204"/>
        <v>86.921985815602866</v>
      </c>
      <c r="AF113" s="463">
        <f t="shared" si="205"/>
        <v>1.2079797650130546E-2</v>
      </c>
      <c r="AH113" s="153">
        <f t="shared" si="206"/>
        <v>0.10633433538353906</v>
      </c>
      <c r="AI113" s="153">
        <f t="shared" si="207"/>
        <v>0.15</v>
      </c>
      <c r="AJ113" s="153">
        <f t="shared" si="208"/>
        <v>1.0496697061803446</v>
      </c>
      <c r="AL113" s="317">
        <f t="shared" si="209"/>
        <v>3</v>
      </c>
      <c r="AM113" s="147">
        <f t="shared" si="210"/>
        <v>86.921985815602866</v>
      </c>
      <c r="AO113" s="147">
        <f t="shared" si="211"/>
        <v>3</v>
      </c>
      <c r="AP113" s="147">
        <f t="shared" si="212"/>
        <v>86.921985815602866</v>
      </c>
      <c r="AR113" s="5">
        <f t="shared" si="160"/>
        <v>11.504569190600519</v>
      </c>
      <c r="AS113" s="5">
        <f t="shared" si="213"/>
        <v>0.54230769230769227</v>
      </c>
      <c r="AT113" s="5">
        <f t="shared" si="214"/>
        <v>10.962261498292825</v>
      </c>
      <c r="AU113" s="153">
        <f t="shared" si="215"/>
        <v>4.7138461538461553E-2</v>
      </c>
      <c r="AW113" s="5">
        <f t="shared" si="216"/>
        <v>1.0846153846153846E-2</v>
      </c>
      <c r="AX113" s="5"/>
      <c r="AY113" s="5">
        <f t="shared" si="217"/>
        <v>1.0168269230769229E-2</v>
      </c>
      <c r="AZ113" s="5"/>
      <c r="BA113" s="5">
        <f t="shared" si="218"/>
        <v>5.6216725632270897E-2</v>
      </c>
      <c r="BB113" s="5"/>
      <c r="BC113" s="5"/>
      <c r="BD113" s="153">
        <f t="shared" si="219"/>
        <v>1.8802618475586366E-2</v>
      </c>
      <c r="BE113" s="153">
        <f t="shared" si="220"/>
        <v>8.4536746675404645E-2</v>
      </c>
      <c r="BF113" s="153">
        <f t="shared" si="221"/>
        <v>8.4647252226614331E-2</v>
      </c>
      <c r="BG113" s="153"/>
      <c r="BH113" s="463">
        <f t="shared" si="222"/>
        <v>1.2373846153846158E-4</v>
      </c>
      <c r="BI113" s="463">
        <f t="shared" si="223"/>
        <v>1.8462229787234051E-3</v>
      </c>
      <c r="BJ113" s="463">
        <f t="shared" si="224"/>
        <v>1.0865248226950357E-3</v>
      </c>
      <c r="BK113" s="463">
        <f t="shared" si="225"/>
        <v>3.4856689838297884E-3</v>
      </c>
      <c r="BL113">
        <f t="shared" si="226"/>
        <v>3.7699999999999999E-3</v>
      </c>
      <c r="BM113">
        <f t="shared" si="227"/>
        <v>1.7384397163120573E-6</v>
      </c>
      <c r="BN113">
        <f t="shared" si="228"/>
        <v>1.0330834229133704E-2</v>
      </c>
      <c r="BO113" s="147">
        <f t="shared" si="229"/>
        <v>10.312155246786691</v>
      </c>
      <c r="BP113" s="153">
        <f t="shared" si="230"/>
        <v>1.2000000000000001E-3</v>
      </c>
      <c r="BQ113" s="153">
        <f t="shared" si="231"/>
        <v>1.2000000000000001E-3</v>
      </c>
      <c r="BR113" s="463"/>
      <c r="BT113" s="147">
        <f t="shared" si="232"/>
        <v>2.4000000000000004</v>
      </c>
      <c r="BU113" s="463">
        <f t="shared" si="233"/>
        <v>3.5353846153846172E-4</v>
      </c>
      <c r="BV113" s="463">
        <f t="shared" si="234"/>
        <v>7.1464615384615382E-3</v>
      </c>
      <c r="BW113" s="463">
        <f t="shared" si="235"/>
        <v>3.5825786547580328E-4</v>
      </c>
      <c r="BX113" s="463">
        <f t="shared" si="236"/>
        <v>0</v>
      </c>
      <c r="BY113" s="463">
        <f t="shared" si="180"/>
        <v>8.8067852885139412E-3</v>
      </c>
      <c r="BZ113" s="463">
        <f t="shared" si="166"/>
        <v>7.8582578654758026E-3</v>
      </c>
      <c r="CA113" s="549">
        <f t="shared" si="237"/>
        <v>9.7787234042553245E-4</v>
      </c>
      <c r="CB113" s="147">
        <f t="shared" si="238"/>
        <v>25.501173359891077</v>
      </c>
      <c r="CC113" s="153">
        <f t="shared" si="168"/>
        <v>2.2515491858073177E-2</v>
      </c>
      <c r="CD113" s="5">
        <f t="shared" si="239"/>
        <v>9.2999999999999999E-2</v>
      </c>
      <c r="CE113" s="153">
        <f t="shared" si="240"/>
        <v>0.80508681999348986</v>
      </c>
      <c r="CF113" s="5">
        <f t="shared" si="241"/>
        <v>80.50868199934898</v>
      </c>
      <c r="CG113">
        <f t="shared" si="242"/>
        <v>3</v>
      </c>
      <c r="CI113" s="59">
        <f t="shared" si="243"/>
        <v>-50</v>
      </c>
      <c r="CJ113">
        <f t="shared" si="244"/>
        <v>-50</v>
      </c>
    </row>
    <row r="114" spans="5:88" x14ac:dyDescent="0.25">
      <c r="E114" s="150">
        <v>4</v>
      </c>
      <c r="F114" s="191">
        <f t="shared" si="245"/>
        <v>4.0000000000000001E-3</v>
      </c>
      <c r="G114" s="191">
        <f t="shared" si="183"/>
        <v>4.0000000000000001E-3</v>
      </c>
      <c r="H114" s="191">
        <f t="shared" si="184"/>
        <v>0.06</v>
      </c>
      <c r="I114" s="191">
        <f t="shared" si="185"/>
        <v>6.4000000000000001E-2</v>
      </c>
      <c r="J114" s="472">
        <f t="shared" si="186"/>
        <v>13</v>
      </c>
      <c r="K114" s="386">
        <f t="shared" si="187"/>
        <v>15.32</v>
      </c>
      <c r="L114" s="386">
        <f t="shared" si="188"/>
        <v>28.32</v>
      </c>
      <c r="M114" s="386"/>
      <c r="N114" s="191">
        <f t="shared" si="189"/>
        <v>0.54096045197740117</v>
      </c>
      <c r="O114" s="152">
        <f t="shared" si="190"/>
        <v>1.1484503143794424</v>
      </c>
      <c r="P114" s="152">
        <f t="shared" si="191"/>
        <v>2.5316949152542376</v>
      </c>
      <c r="Q114" s="191">
        <f t="shared" si="192"/>
        <v>7.6563354291962829E-2</v>
      </c>
      <c r="R114" s="191">
        <f t="shared" si="193"/>
        <v>7.1778144648715153E-2</v>
      </c>
      <c r="S114" s="191">
        <f t="shared" si="194"/>
        <v>15</v>
      </c>
      <c r="T114" s="191">
        <f t="shared" si="195"/>
        <v>3.9183236258954264E-2</v>
      </c>
      <c r="U114" s="191">
        <f t="shared" si="196"/>
        <v>0.14166246955160386</v>
      </c>
      <c r="V114" s="191">
        <f t="shared" si="197"/>
        <v>0.12020966737407637</v>
      </c>
      <c r="W114" s="175">
        <f t="shared" si="198"/>
        <v>350</v>
      </c>
      <c r="X114" s="386">
        <f t="shared" si="199"/>
        <v>350</v>
      </c>
      <c r="Z114" s="191">
        <f t="shared" si="200"/>
        <v>0.42750674016451157</v>
      </c>
      <c r="AA114" s="153">
        <f t="shared" si="201"/>
        <v>1.3115415657788541</v>
      </c>
      <c r="AB114" s="153">
        <f t="shared" si="202"/>
        <v>4.7478024382677106E-2</v>
      </c>
      <c r="AC114" s="153"/>
      <c r="AD114" s="153">
        <f t="shared" si="203"/>
        <v>0.46018276762402083</v>
      </c>
      <c r="AE114" s="317">
        <f t="shared" si="204"/>
        <v>115.89598108747049</v>
      </c>
      <c r="AF114" s="463">
        <f t="shared" si="205"/>
        <v>1.2079797650130546E-2</v>
      </c>
      <c r="AH114" s="153">
        <f t="shared" si="206"/>
        <v>0.12278431431557245</v>
      </c>
      <c r="AI114" s="153">
        <f t="shared" si="207"/>
        <v>0.15</v>
      </c>
      <c r="AJ114" s="153">
        <f t="shared" si="208"/>
        <v>1.0662262749071261</v>
      </c>
      <c r="AL114" s="317">
        <f t="shared" si="209"/>
        <v>4</v>
      </c>
      <c r="AM114" s="147">
        <f t="shared" si="210"/>
        <v>115.89598108747049</v>
      </c>
      <c r="AO114" s="147">
        <f t="shared" si="211"/>
        <v>4</v>
      </c>
      <c r="AP114" s="147">
        <f t="shared" si="212"/>
        <v>115.89598108747049</v>
      </c>
      <c r="AR114" s="5">
        <f t="shared" si="160"/>
        <v>8.6284268929503884</v>
      </c>
      <c r="AS114" s="5">
        <f t="shared" si="213"/>
        <v>0.54230769230769227</v>
      </c>
      <c r="AT114" s="5">
        <f t="shared" si="214"/>
        <v>8.0861192006426954</v>
      </c>
      <c r="AU114" s="153">
        <f t="shared" si="215"/>
        <v>6.285128205128207E-2</v>
      </c>
      <c r="AW114" s="5">
        <f t="shared" si="216"/>
        <v>1.4461538461538461E-2</v>
      </c>
      <c r="AX114" s="5"/>
      <c r="AY114" s="5">
        <f t="shared" si="217"/>
        <v>1.3557692307692309E-2</v>
      </c>
      <c r="AZ114" s="5"/>
      <c r="BA114" s="5">
        <f t="shared" si="218"/>
        <v>5.5289703936018432E-2</v>
      </c>
      <c r="BB114" s="5"/>
      <c r="BC114" s="5"/>
      <c r="BD114" s="153">
        <f t="shared" si="219"/>
        <v>2.1711393676699237E-2</v>
      </c>
      <c r="BE114" s="153">
        <f t="shared" si="220"/>
        <v>8.3836837873427605E-2</v>
      </c>
      <c r="BF114" s="153">
        <f t="shared" si="221"/>
        <v>8.3946428511170651E-2</v>
      </c>
      <c r="BG114" s="153"/>
      <c r="BH114" s="463">
        <f t="shared" si="222"/>
        <v>1.6498461538461546E-4</v>
      </c>
      <c r="BI114" s="463">
        <f t="shared" si="223"/>
        <v>2.4616306382978731E-3</v>
      </c>
      <c r="BJ114" s="463">
        <f t="shared" si="224"/>
        <v>1.4486997635933809E-3</v>
      </c>
      <c r="BK114" s="463">
        <f t="shared" si="225"/>
        <v>4.6475586451063845E-3</v>
      </c>
      <c r="BL114">
        <f t="shared" si="226"/>
        <v>3.7699999999999999E-3</v>
      </c>
      <c r="BM114">
        <f t="shared" si="227"/>
        <v>2.3179196217494096E-6</v>
      </c>
      <c r="BN114">
        <f t="shared" si="228"/>
        <v>1.2517845544062479E-2</v>
      </c>
      <c r="BO114" s="147">
        <f t="shared" si="229"/>
        <v>12.492873662382255</v>
      </c>
      <c r="BP114" s="153">
        <f t="shared" si="230"/>
        <v>1.6000000000000001E-3</v>
      </c>
      <c r="BQ114" s="153">
        <f t="shared" si="231"/>
        <v>1.6000000000000001E-3</v>
      </c>
      <c r="BR114" s="463"/>
      <c r="BT114" s="147">
        <f t="shared" si="232"/>
        <v>3.2</v>
      </c>
      <c r="BU114" s="463">
        <f t="shared" si="233"/>
        <v>4.7138461538461565E-4</v>
      </c>
      <c r="BV114" s="463">
        <f t="shared" si="234"/>
        <v>7.0286153846153858E-3</v>
      </c>
      <c r="BW114" s="463">
        <f t="shared" si="235"/>
        <v>3.5235014298905427E-4</v>
      </c>
      <c r="BX114" s="463">
        <f t="shared" si="236"/>
        <v>0</v>
      </c>
      <c r="BY114" s="463">
        <f t="shared" si="180"/>
        <v>8.8001603153565928E-3</v>
      </c>
      <c r="BZ114" s="463">
        <f t="shared" si="166"/>
        <v>7.8523501429890556E-3</v>
      </c>
      <c r="CA114" s="549">
        <f t="shared" si="237"/>
        <v>1.3038297872340432E-3</v>
      </c>
      <c r="CB114" s="147">
        <f t="shared" si="238"/>
        <v>25.808690388568749</v>
      </c>
      <c r="CC114" s="153">
        <f t="shared" si="168"/>
        <v>2.5821835646653118E-2</v>
      </c>
      <c r="CD114" s="5">
        <f t="shared" si="239"/>
        <v>0.124</v>
      </c>
      <c r="CE114" s="153">
        <f t="shared" si="240"/>
        <v>0.82764971784518415</v>
      </c>
      <c r="CF114" s="5">
        <f t="shared" si="241"/>
        <v>82.764971784518409</v>
      </c>
      <c r="CG114">
        <f t="shared" si="242"/>
        <v>4</v>
      </c>
      <c r="CI114" s="59">
        <f t="shared" si="243"/>
        <v>-50</v>
      </c>
      <c r="CJ114">
        <f t="shared" si="244"/>
        <v>-50</v>
      </c>
    </row>
    <row r="115" spans="5:88" x14ac:dyDescent="0.25">
      <c r="E115" s="150">
        <v>5</v>
      </c>
      <c r="F115" s="191">
        <f t="shared" si="245"/>
        <v>5.000000000000001E-3</v>
      </c>
      <c r="G115" s="191">
        <f t="shared" si="183"/>
        <v>5.000000000000001E-3</v>
      </c>
      <c r="H115" s="191">
        <f t="shared" si="184"/>
        <v>7.5000000000000011E-2</v>
      </c>
      <c r="I115" s="191">
        <f t="shared" si="185"/>
        <v>8.0000000000000016E-2</v>
      </c>
      <c r="J115" s="472">
        <f t="shared" si="186"/>
        <v>13</v>
      </c>
      <c r="K115" s="386">
        <f t="shared" si="187"/>
        <v>15.32</v>
      </c>
      <c r="L115" s="386">
        <f t="shared" si="188"/>
        <v>28.32</v>
      </c>
      <c r="M115" s="386"/>
      <c r="N115" s="191">
        <f t="shared" si="189"/>
        <v>0.54096045197740117</v>
      </c>
      <c r="O115" s="152">
        <f t="shared" si="190"/>
        <v>1.1484503143794424</v>
      </c>
      <c r="P115" s="152">
        <f t="shared" si="191"/>
        <v>2.5316949152542376</v>
      </c>
      <c r="Q115" s="191">
        <f t="shared" si="192"/>
        <v>7.6563354291962829E-2</v>
      </c>
      <c r="R115" s="191">
        <f t="shared" si="193"/>
        <v>7.1778144648715153E-2</v>
      </c>
      <c r="S115" s="191">
        <f t="shared" si="194"/>
        <v>15</v>
      </c>
      <c r="T115" s="191">
        <f t="shared" si="195"/>
        <v>4.8979045323692842E-2</v>
      </c>
      <c r="U115" s="191">
        <f t="shared" si="196"/>
        <v>0.17707808693950486</v>
      </c>
      <c r="V115" s="191">
        <f t="shared" si="197"/>
        <v>0.15026208421759552</v>
      </c>
      <c r="W115" s="175">
        <f t="shared" si="198"/>
        <v>350</v>
      </c>
      <c r="X115" s="386">
        <f t="shared" si="199"/>
        <v>350</v>
      </c>
      <c r="Z115" s="191">
        <f t="shared" si="200"/>
        <v>0.42750674016451157</v>
      </c>
      <c r="AA115" s="153">
        <f t="shared" si="201"/>
        <v>1.3115415657788541</v>
      </c>
      <c r="AB115" s="153">
        <f t="shared" si="202"/>
        <v>4.7478024382677106E-2</v>
      </c>
      <c r="AC115" s="153"/>
      <c r="AD115" s="153">
        <f t="shared" si="203"/>
        <v>0.46018276762402083</v>
      </c>
      <c r="AE115" s="317">
        <f t="shared" si="204"/>
        <v>144.86997635933812</v>
      </c>
      <c r="AF115" s="463">
        <f t="shared" si="205"/>
        <v>1.2079797650130546E-2</v>
      </c>
      <c r="AH115" s="153">
        <f t="shared" si="206"/>
        <v>0.13727703669016031</v>
      </c>
      <c r="AI115" s="153">
        <f t="shared" si="207"/>
        <v>0.15</v>
      </c>
      <c r="AJ115" s="153">
        <f t="shared" si="208"/>
        <v>1.0827828436339075</v>
      </c>
      <c r="AL115" s="317">
        <f t="shared" si="209"/>
        <v>5.0000000000000009</v>
      </c>
      <c r="AM115" s="147">
        <f t="shared" si="210"/>
        <v>144.86997635933812</v>
      </c>
      <c r="AO115" s="147">
        <f t="shared" si="211"/>
        <v>5.0000000000000009</v>
      </c>
      <c r="AP115" s="147">
        <f t="shared" si="212"/>
        <v>144.86997635933812</v>
      </c>
      <c r="AR115" s="5">
        <f t="shared" si="160"/>
        <v>6.9027415143603097</v>
      </c>
      <c r="AS115" s="5">
        <f t="shared" ref="AS115:AS178" si="246">L*AI115/J115*1000000</f>
        <v>0.54230769230769227</v>
      </c>
      <c r="AT115" s="5">
        <f t="shared" ref="AT115:AT178" si="247">AR115-AS115</f>
        <v>6.3604338220526175</v>
      </c>
      <c r="AU115" s="153">
        <f t="shared" ref="AU115:AU178" si="248">AS115/AR115</f>
        <v>7.8564102564102595E-2</v>
      </c>
      <c r="AW115" s="5">
        <f t="shared" si="216"/>
        <v>1.8076923076923081E-2</v>
      </c>
      <c r="AX115" s="5"/>
      <c r="AY115" s="5">
        <f t="shared" si="217"/>
        <v>1.6947115384615387E-2</v>
      </c>
      <c r="AZ115" s="5"/>
      <c r="BA115" s="5">
        <f t="shared" si="218"/>
        <v>5.4362682239765973E-2</v>
      </c>
      <c r="BB115" s="5"/>
      <c r="BC115" s="5"/>
      <c r="BD115" s="153">
        <f t="shared" si="219"/>
        <v>2.427407607367929E-2</v>
      </c>
      <c r="BE115" s="153">
        <f t="shared" si="220"/>
        <v>8.3131036507246986E-2</v>
      </c>
      <c r="BF115" s="153">
        <f t="shared" si="221"/>
        <v>8.3239704528825093E-2</v>
      </c>
      <c r="BG115" s="153"/>
      <c r="BH115" s="463">
        <f t="shared" si="222"/>
        <v>2.0623076923076929E-4</v>
      </c>
      <c r="BI115" s="463">
        <f t="shared" si="223"/>
        <v>3.0770382978723421E-3</v>
      </c>
      <c r="BJ115" s="463">
        <f t="shared" si="224"/>
        <v>1.8108747044917263E-3</v>
      </c>
      <c r="BK115" s="463">
        <f t="shared" si="225"/>
        <v>5.8094483063829815E-3</v>
      </c>
      <c r="BL115">
        <f t="shared" si="226"/>
        <v>3.7699999999999999E-3</v>
      </c>
      <c r="BM115">
        <f t="shared" si="227"/>
        <v>2.8973995271867624E-6</v>
      </c>
      <c r="BN115">
        <f t="shared" si="228"/>
        <v>1.4704890146199924E-2</v>
      </c>
      <c r="BO115" s="147">
        <f t="shared" si="229"/>
        <v>14.673592077977817</v>
      </c>
      <c r="BP115" s="153">
        <f t="shared" si="230"/>
        <v>2.0000000000000005E-3</v>
      </c>
      <c r="BQ115" s="153">
        <f t="shared" si="231"/>
        <v>2.0000000000000005E-3</v>
      </c>
      <c r="BR115" s="463"/>
      <c r="BT115" s="147">
        <f t="shared" si="232"/>
        <v>4.0000000000000009</v>
      </c>
      <c r="BU115" s="463">
        <f t="shared" si="233"/>
        <v>5.8923076923076941E-4</v>
      </c>
      <c r="BV115" s="463">
        <f t="shared" si="234"/>
        <v>6.9107692307692307E-3</v>
      </c>
      <c r="BW115" s="463">
        <f t="shared" si="235"/>
        <v>3.4644242050230526E-4</v>
      </c>
      <c r="BX115" s="463">
        <f t="shared" si="236"/>
        <v>0</v>
      </c>
      <c r="BY115" s="463">
        <f t="shared" si="180"/>
        <v>8.7935353484653329E-3</v>
      </c>
      <c r="BZ115" s="463">
        <f t="shared" si="166"/>
        <v>7.8464424205023052E-3</v>
      </c>
      <c r="CA115" s="549">
        <f t="shared" si="237"/>
        <v>1.6297872340425542E-3</v>
      </c>
      <c r="CB115" s="147">
        <f t="shared" si="238"/>
        <v>26.116207423512499</v>
      </c>
      <c r="CC115" s="153">
        <f t="shared" si="168"/>
        <v>2.9128212728707813E-2</v>
      </c>
      <c r="CD115" s="5">
        <f t="shared" si="239"/>
        <v>0.15500000000000003</v>
      </c>
      <c r="CE115" s="153">
        <f t="shared" si="240"/>
        <v>0.84180472781960392</v>
      </c>
      <c r="CF115" s="5">
        <f t="shared" si="241"/>
        <v>84.18047278196039</v>
      </c>
      <c r="CG115">
        <f t="shared" si="242"/>
        <v>5.0000000000000009</v>
      </c>
      <c r="CI115" s="59">
        <f t="shared" si="243"/>
        <v>-50</v>
      </c>
      <c r="CJ115">
        <f t="shared" si="244"/>
        <v>-50</v>
      </c>
    </row>
    <row r="116" spans="5:88" x14ac:dyDescent="0.25">
      <c r="E116" s="150">
        <v>6</v>
      </c>
      <c r="F116" s="191">
        <f t="shared" si="245"/>
        <v>6.0000000000000001E-3</v>
      </c>
      <c r="G116" s="191">
        <f t="shared" si="183"/>
        <v>6.0000000000000001E-3</v>
      </c>
      <c r="H116" s="191">
        <f t="shared" si="184"/>
        <v>0.09</v>
      </c>
      <c r="I116" s="191">
        <f t="shared" si="185"/>
        <v>9.6000000000000002E-2</v>
      </c>
      <c r="J116" s="472">
        <f t="shared" si="186"/>
        <v>13</v>
      </c>
      <c r="K116" s="386">
        <f t="shared" si="187"/>
        <v>15.32</v>
      </c>
      <c r="L116" s="386">
        <f t="shared" si="188"/>
        <v>28.32</v>
      </c>
      <c r="M116" s="386"/>
      <c r="N116" s="191">
        <f t="shared" si="189"/>
        <v>0.54096045197740117</v>
      </c>
      <c r="O116" s="152">
        <f t="shared" si="190"/>
        <v>1.1484503143794424</v>
      </c>
      <c r="P116" s="152">
        <f t="shared" si="191"/>
        <v>2.5316949152542376</v>
      </c>
      <c r="Q116" s="191">
        <f t="shared" si="192"/>
        <v>7.6563354291962829E-2</v>
      </c>
      <c r="R116" s="191">
        <f t="shared" si="193"/>
        <v>7.1778144648715153E-2</v>
      </c>
      <c r="S116" s="191">
        <f t="shared" si="194"/>
        <v>15</v>
      </c>
      <c r="T116" s="191">
        <f t="shared" si="195"/>
        <v>5.87748543884314E-2</v>
      </c>
      <c r="U116" s="191">
        <f t="shared" si="196"/>
        <v>0.21249370432740583</v>
      </c>
      <c r="V116" s="191">
        <f t="shared" si="197"/>
        <v>0.1803145010611146</v>
      </c>
      <c r="W116" s="175">
        <f t="shared" si="198"/>
        <v>350</v>
      </c>
      <c r="X116" s="386">
        <f t="shared" si="199"/>
        <v>350</v>
      </c>
      <c r="Z116" s="191">
        <f t="shared" si="200"/>
        <v>0.42750674016451157</v>
      </c>
      <c r="AA116" s="153">
        <f t="shared" si="201"/>
        <v>1.3115415657788541</v>
      </c>
      <c r="AB116" s="153">
        <f t="shared" si="202"/>
        <v>4.7478024382677106E-2</v>
      </c>
      <c r="AC116" s="153"/>
      <c r="AD116" s="153">
        <f t="shared" si="203"/>
        <v>0.46018276762402083</v>
      </c>
      <c r="AE116" s="317">
        <f t="shared" si="204"/>
        <v>173.84397163120573</v>
      </c>
      <c r="AF116" s="463">
        <f t="shared" si="205"/>
        <v>1.2079797650130546E-2</v>
      </c>
      <c r="AH116" s="153">
        <f t="shared" si="206"/>
        <v>0.15037945924533022</v>
      </c>
      <c r="AI116" s="153">
        <f t="shared" si="207"/>
        <v>0.15037945924533022</v>
      </c>
      <c r="AJ116" s="153">
        <f t="shared" si="208"/>
        <v>1.099339412360689</v>
      </c>
      <c r="AL116" s="317">
        <f t="shared" si="209"/>
        <v>6</v>
      </c>
      <c r="AM116" s="147">
        <f t="shared" si="210"/>
        <v>173.84397163120573</v>
      </c>
      <c r="AO116" s="147">
        <f t="shared" si="211"/>
        <v>6</v>
      </c>
      <c r="AP116" s="147">
        <f t="shared" si="212"/>
        <v>173.84397163120573</v>
      </c>
      <c r="AR116" s="5">
        <f t="shared" si="160"/>
        <v>5.7522845953002593</v>
      </c>
      <c r="AS116" s="5">
        <f t="shared" si="246"/>
        <v>0.54367958342542466</v>
      </c>
      <c r="AT116" s="5">
        <f t="shared" si="247"/>
        <v>5.2086050118748348</v>
      </c>
      <c r="AU116" s="153">
        <f t="shared" si="248"/>
        <v>9.451541807747528E-2</v>
      </c>
      <c r="AW116" s="5">
        <f t="shared" si="216"/>
        <v>2.174718333701699E-2</v>
      </c>
      <c r="AX116" s="5"/>
      <c r="AY116" s="5">
        <f t="shared" si="217"/>
        <v>2.0387984378453426E-2</v>
      </c>
      <c r="AZ116" s="5"/>
      <c r="BA116" s="5">
        <f t="shared" si="218"/>
        <v>5.3421589865382917E-2</v>
      </c>
      <c r="BB116" s="5"/>
      <c r="BC116" s="5"/>
      <c r="BD116" s="153">
        <f t="shared" si="219"/>
        <v>2.6691883539874003E-2</v>
      </c>
      <c r="BE116" s="153">
        <f t="shared" si="220"/>
        <v>8.2616809875874817E-2</v>
      </c>
      <c r="BF116" s="153">
        <f t="shared" si="221"/>
        <v>8.2724805705777921E-2</v>
      </c>
      <c r="BG116" s="153"/>
      <c r="BH116" s="463">
        <f t="shared" si="222"/>
        <v>2.493598264171688E-4</v>
      </c>
      <c r="BI116" s="463">
        <f t="shared" si="223"/>
        <v>3.7017868424897124E-3</v>
      </c>
      <c r="BJ116" s="463">
        <f t="shared" si="224"/>
        <v>2.1730496453900715E-3</v>
      </c>
      <c r="BK116" s="463">
        <f t="shared" si="225"/>
        <v>6.9713379676595768E-3</v>
      </c>
      <c r="BL116">
        <f t="shared" si="226"/>
        <v>3.7699999999999999E-3</v>
      </c>
      <c r="BM116">
        <f t="shared" si="227"/>
        <v>3.4768794326241147E-6</v>
      </c>
      <c r="BN116">
        <f t="shared" si="228"/>
        <v>1.6903452413197018E-2</v>
      </c>
      <c r="BO116" s="147">
        <f t="shared" si="229"/>
        <v>16.865534281956528</v>
      </c>
      <c r="BP116" s="153">
        <f t="shared" si="230"/>
        <v>2.4000000000000002E-3</v>
      </c>
      <c r="BQ116" s="153">
        <f t="shared" si="231"/>
        <v>2.4000000000000002E-3</v>
      </c>
      <c r="BR116" s="463"/>
      <c r="BT116" s="147">
        <f t="shared" si="232"/>
        <v>4.8000000000000007</v>
      </c>
      <c r="BU116" s="463">
        <f t="shared" si="233"/>
        <v>7.1245664690619667E-4</v>
      </c>
      <c r="BV116" s="463">
        <f t="shared" si="234"/>
        <v>6.8255372740664462E-3</v>
      </c>
      <c r="BW116" s="463">
        <f t="shared" si="235"/>
        <v>3.4216967395293537E-4</v>
      </c>
      <c r="BX116" s="463">
        <f t="shared" si="236"/>
        <v>0</v>
      </c>
      <c r="BY116" s="463">
        <f t="shared" si="180"/>
        <v>8.8313506253319893E-3</v>
      </c>
      <c r="BZ116" s="463">
        <f t="shared" si="166"/>
        <v>7.8801635949255783E-3</v>
      </c>
      <c r="CA116" s="549">
        <f t="shared" si="237"/>
        <v>1.9656522020306548E-3</v>
      </c>
      <c r="CB116" s="147">
        <f t="shared" si="238"/>
        <v>26.557330017213797</v>
      </c>
      <c r="CC116" s="153">
        <f t="shared" si="168"/>
        <v>3.250045524055966E-2</v>
      </c>
      <c r="CD116" s="5">
        <f t="shared" si="239"/>
        <v>0.186</v>
      </c>
      <c r="CE116" s="153">
        <f t="shared" si="240"/>
        <v>0.85125680765846434</v>
      </c>
      <c r="CF116" s="5">
        <f t="shared" si="241"/>
        <v>85.12568076584644</v>
      </c>
      <c r="CG116">
        <f t="shared" si="242"/>
        <v>6</v>
      </c>
      <c r="CI116" s="59">
        <f t="shared" si="243"/>
        <v>-50</v>
      </c>
      <c r="CJ116">
        <f t="shared" si="244"/>
        <v>-50</v>
      </c>
    </row>
    <row r="117" spans="5:88" x14ac:dyDescent="0.25">
      <c r="E117" s="150">
        <v>7</v>
      </c>
      <c r="F117" s="191">
        <f t="shared" si="245"/>
        <v>7.000000000000001E-3</v>
      </c>
      <c r="G117" s="191">
        <f t="shared" si="183"/>
        <v>7.000000000000001E-3</v>
      </c>
      <c r="H117" s="191">
        <f t="shared" si="184"/>
        <v>0.10500000000000001</v>
      </c>
      <c r="I117" s="191">
        <f t="shared" si="185"/>
        <v>0.11200000000000002</v>
      </c>
      <c r="J117" s="472">
        <f t="shared" si="186"/>
        <v>13</v>
      </c>
      <c r="K117" s="386">
        <f t="shared" si="187"/>
        <v>15.32</v>
      </c>
      <c r="L117" s="386">
        <f t="shared" si="188"/>
        <v>28.32</v>
      </c>
      <c r="M117" s="386"/>
      <c r="N117" s="191">
        <f t="shared" si="189"/>
        <v>0.54096045197740117</v>
      </c>
      <c r="O117" s="152">
        <f t="shared" si="190"/>
        <v>1.1484503143794424</v>
      </c>
      <c r="P117" s="152">
        <f t="shared" si="191"/>
        <v>2.5316949152542376</v>
      </c>
      <c r="Q117" s="191">
        <f t="shared" si="192"/>
        <v>7.6563354291962829E-2</v>
      </c>
      <c r="R117" s="191">
        <f t="shared" si="193"/>
        <v>7.1778144648715153E-2</v>
      </c>
      <c r="S117" s="191">
        <f t="shared" si="194"/>
        <v>15</v>
      </c>
      <c r="T117" s="191">
        <f t="shared" si="195"/>
        <v>6.8570663453169978E-2</v>
      </c>
      <c r="U117" s="191">
        <f t="shared" si="196"/>
        <v>0.24790932171530686</v>
      </c>
      <c r="V117" s="191">
        <f t="shared" si="197"/>
        <v>0.21036691790463374</v>
      </c>
      <c r="W117" s="175">
        <f t="shared" si="198"/>
        <v>350</v>
      </c>
      <c r="X117" s="386">
        <f t="shared" si="199"/>
        <v>350</v>
      </c>
      <c r="Z117" s="191">
        <f t="shared" si="200"/>
        <v>0.42750674016451157</v>
      </c>
      <c r="AA117" s="153">
        <f t="shared" si="201"/>
        <v>1.3115415657788541</v>
      </c>
      <c r="AB117" s="153">
        <f t="shared" si="202"/>
        <v>4.7478024382677106E-2</v>
      </c>
      <c r="AC117" s="153"/>
      <c r="AD117" s="153">
        <f t="shared" si="203"/>
        <v>0.46018276762402083</v>
      </c>
      <c r="AE117" s="317">
        <f t="shared" si="204"/>
        <v>202.81796690307337</v>
      </c>
      <c r="AF117" s="463">
        <f t="shared" si="205"/>
        <v>1.2079797650130546E-2</v>
      </c>
      <c r="AH117" s="153">
        <f t="shared" si="206"/>
        <v>0.16242838028929629</v>
      </c>
      <c r="AI117" s="153">
        <f t="shared" si="207"/>
        <v>0.16242838028929629</v>
      </c>
      <c r="AJ117" s="153">
        <f t="shared" si="208"/>
        <v>1.1158959810874705</v>
      </c>
      <c r="AL117" s="317">
        <f t="shared" si="209"/>
        <v>7.0000000000000009</v>
      </c>
      <c r="AM117" s="147">
        <f t="shared" si="210"/>
        <v>202.81796690307337</v>
      </c>
      <c r="AO117" s="147">
        <f t="shared" si="211"/>
        <v>7.0000000000000009</v>
      </c>
      <c r="AP117" s="147">
        <f t="shared" si="212"/>
        <v>202.81796690307337</v>
      </c>
      <c r="AR117" s="5">
        <f t="shared" si="160"/>
        <v>4.9305296531145073</v>
      </c>
      <c r="AS117" s="5">
        <f t="shared" si="246"/>
        <v>0.58724106719976354</v>
      </c>
      <c r="AT117" s="5">
        <f t="shared" si="247"/>
        <v>4.3432885859147436</v>
      </c>
      <c r="AU117" s="153">
        <f t="shared" si="248"/>
        <v>0.11910303933144713</v>
      </c>
      <c r="AW117" s="5">
        <f t="shared" si="216"/>
        <v>2.740458313598897E-2</v>
      </c>
      <c r="AX117" s="5"/>
      <c r="AY117" s="5">
        <f t="shared" si="217"/>
        <v>2.5691796689989655E-2</v>
      </c>
      <c r="AZ117" s="5"/>
      <c r="BA117" s="5">
        <f t="shared" si="218"/>
        <v>5.1970974532313169E-2</v>
      </c>
      <c r="BB117" s="5"/>
      <c r="BC117" s="5"/>
      <c r="BD117" s="153">
        <f t="shared" si="219"/>
        <v>3.2364038440705289E-2</v>
      </c>
      <c r="BE117" s="153">
        <f t="shared" si="220"/>
        <v>8.801644878625417E-2</v>
      </c>
      <c r="BF117" s="153">
        <f t="shared" si="221"/>
        <v>8.8131502967674094E-2</v>
      </c>
      <c r="BG117" s="153"/>
      <c r="BH117" s="463">
        <f t="shared" si="222"/>
        <v>3.6660084446700736E-4</v>
      </c>
      <c r="BI117" s="463">
        <f t="shared" si="223"/>
        <v>4.6647845702410175E-3</v>
      </c>
      <c r="BJ117" s="463">
        <f t="shared" si="224"/>
        <v>2.5352245862884171E-3</v>
      </c>
      <c r="BK117" s="463">
        <f t="shared" si="225"/>
        <v>8.1332276289361738E-3</v>
      </c>
      <c r="BL117">
        <f t="shared" si="226"/>
        <v>3.7699999999999999E-3</v>
      </c>
      <c r="BM117">
        <f t="shared" si="227"/>
        <v>4.0563593380614678E-6</v>
      </c>
      <c r="BN117">
        <f t="shared" si="228"/>
        <v>1.9524705712503327E-2</v>
      </c>
      <c r="BO117" s="147">
        <f t="shared" si="229"/>
        <v>19.469837629932613</v>
      </c>
      <c r="BP117" s="153">
        <f t="shared" si="230"/>
        <v>2.8000000000000004E-3</v>
      </c>
      <c r="BQ117" s="153">
        <f t="shared" si="231"/>
        <v>2.8000000000000004E-3</v>
      </c>
      <c r="BR117" s="463"/>
      <c r="BT117" s="147">
        <f t="shared" si="232"/>
        <v>5.6000000000000005</v>
      </c>
      <c r="BU117" s="463">
        <f t="shared" si="233"/>
        <v>1.0474309841914497E-3</v>
      </c>
      <c r="BV117" s="463">
        <f t="shared" si="234"/>
        <v>7.7468952569433027E-3</v>
      </c>
      <c r="BW117" s="463">
        <f t="shared" si="235"/>
        <v>3.8835809076705739E-4</v>
      </c>
      <c r="BX117" s="463">
        <f t="shared" si="236"/>
        <v>0</v>
      </c>
      <c r="BY117" s="463">
        <f t="shared" si="180"/>
        <v>1.0292167229550836E-2</v>
      </c>
      <c r="BZ117" s="463">
        <f t="shared" si="166"/>
        <v>9.1826843319018098E-3</v>
      </c>
      <c r="CA117" s="549">
        <f t="shared" si="237"/>
        <v>2.6754710527639473E-3</v>
      </c>
      <c r="CB117" s="147">
        <f t="shared" si="238"/>
        <v>31.333006946118402</v>
      </c>
      <c r="CC117" s="153">
        <f t="shared" si="168"/>
        <v>3.8092343994818111E-2</v>
      </c>
      <c r="CD117" s="5">
        <f t="shared" si="239"/>
        <v>0.21700000000000003</v>
      </c>
      <c r="CE117" s="153">
        <f t="shared" si="240"/>
        <v>0.85067233536576903</v>
      </c>
      <c r="CF117" s="5">
        <f t="shared" si="241"/>
        <v>85.067233536576907</v>
      </c>
      <c r="CG117">
        <f t="shared" si="242"/>
        <v>7.0000000000000009</v>
      </c>
      <c r="CI117" s="59">
        <f t="shared" si="243"/>
        <v>-50</v>
      </c>
      <c r="CJ117">
        <f t="shared" si="244"/>
        <v>-50</v>
      </c>
    </row>
    <row r="118" spans="5:88" x14ac:dyDescent="0.25">
      <c r="E118" s="150">
        <v>8</v>
      </c>
      <c r="F118" s="191">
        <f t="shared" si="245"/>
        <v>8.0000000000000002E-3</v>
      </c>
      <c r="G118" s="191">
        <f t="shared" si="183"/>
        <v>8.0000000000000002E-3</v>
      </c>
      <c r="H118" s="191">
        <f t="shared" si="184"/>
        <v>0.12</v>
      </c>
      <c r="I118" s="191">
        <f t="shared" si="185"/>
        <v>0.128</v>
      </c>
      <c r="J118" s="472">
        <f t="shared" si="186"/>
        <v>13</v>
      </c>
      <c r="K118" s="386">
        <f t="shared" si="187"/>
        <v>15.32</v>
      </c>
      <c r="L118" s="386">
        <f t="shared" si="188"/>
        <v>28.32</v>
      </c>
      <c r="M118" s="386"/>
      <c r="N118" s="191">
        <f t="shared" si="189"/>
        <v>0.54096045197740117</v>
      </c>
      <c r="O118" s="152">
        <f t="shared" si="190"/>
        <v>1.1484503143794424</v>
      </c>
      <c r="P118" s="152">
        <f t="shared" si="191"/>
        <v>2.5316949152542376</v>
      </c>
      <c r="Q118" s="191">
        <f t="shared" si="192"/>
        <v>7.6563354291962829E-2</v>
      </c>
      <c r="R118" s="191">
        <f t="shared" si="193"/>
        <v>7.1778144648715153E-2</v>
      </c>
      <c r="S118" s="191">
        <f t="shared" si="194"/>
        <v>15</v>
      </c>
      <c r="T118" s="191">
        <f t="shared" si="195"/>
        <v>7.8366472517908528E-2</v>
      </c>
      <c r="U118" s="191">
        <f t="shared" si="196"/>
        <v>0.28332493910320772</v>
      </c>
      <c r="V118" s="191">
        <f t="shared" si="197"/>
        <v>0.24041933474815275</v>
      </c>
      <c r="W118" s="175">
        <f t="shared" si="198"/>
        <v>350</v>
      </c>
      <c r="X118" s="386">
        <f t="shared" si="199"/>
        <v>350</v>
      </c>
      <c r="Z118" s="191">
        <f t="shared" si="200"/>
        <v>0.42750674016451157</v>
      </c>
      <c r="AA118" s="153">
        <f t="shared" si="201"/>
        <v>1.3115415657788541</v>
      </c>
      <c r="AB118" s="153">
        <f t="shared" si="202"/>
        <v>4.7478024382677106E-2</v>
      </c>
      <c r="AC118" s="153"/>
      <c r="AD118" s="153">
        <f t="shared" si="203"/>
        <v>0.46018276762402083</v>
      </c>
      <c r="AE118" s="317">
        <f t="shared" si="204"/>
        <v>231.79196217494098</v>
      </c>
      <c r="AF118" s="463">
        <f t="shared" si="205"/>
        <v>1.2079797650130546E-2</v>
      </c>
      <c r="AH118" s="153">
        <f t="shared" si="206"/>
        <v>0.17364324255176353</v>
      </c>
      <c r="AI118" s="153">
        <f t="shared" si="207"/>
        <v>0.17364324255176353</v>
      </c>
      <c r="AJ118" s="153">
        <f t="shared" si="208"/>
        <v>1.1324525498142519</v>
      </c>
      <c r="AL118" s="317">
        <f t="shared" si="209"/>
        <v>8</v>
      </c>
      <c r="AM118" s="147">
        <f t="shared" si="210"/>
        <v>231.79196217494098</v>
      </c>
      <c r="AO118" s="147">
        <f t="shared" si="211"/>
        <v>8</v>
      </c>
      <c r="AP118" s="147">
        <f t="shared" si="212"/>
        <v>231.79196217494098</v>
      </c>
      <c r="AR118" s="5">
        <f t="shared" si="160"/>
        <v>4.3142134464751942</v>
      </c>
      <c r="AS118" s="5">
        <f t="shared" si="246"/>
        <v>0.62778710768714507</v>
      </c>
      <c r="AT118" s="5">
        <f t="shared" si="247"/>
        <v>3.6864263387880492</v>
      </c>
      <c r="AU118" s="153">
        <f t="shared" si="248"/>
        <v>0.14551600551893434</v>
      </c>
      <c r="AW118" s="5">
        <f t="shared" si="216"/>
        <v>3.3481979076647739E-2</v>
      </c>
      <c r="AX118" s="5"/>
      <c r="AY118" s="5">
        <f t="shared" si="217"/>
        <v>3.1389355384357255E-2</v>
      </c>
      <c r="AZ118" s="5"/>
      <c r="BA118" s="5">
        <f t="shared" si="218"/>
        <v>5.0412667880862211E-2</v>
      </c>
      <c r="BB118" s="5"/>
      <c r="BC118" s="5"/>
      <c r="BD118" s="153">
        <f t="shared" si="219"/>
        <v>3.8243060634245776E-2</v>
      </c>
      <c r="BE118" s="153">
        <f t="shared" si="220"/>
        <v>9.2672147242967559E-2</v>
      </c>
      <c r="BF118" s="153">
        <f t="shared" si="221"/>
        <v>9.2793287304723054E-2</v>
      </c>
      <c r="BG118" s="153"/>
      <c r="BH118" s="463">
        <f t="shared" si="222"/>
        <v>5.118860903361096E-4</v>
      </c>
      <c r="BI118" s="463">
        <f t="shared" si="223"/>
        <v>5.6992736799841345E-3</v>
      </c>
      <c r="BJ118" s="463">
        <f t="shared" si="224"/>
        <v>2.8973995271867618E-3</v>
      </c>
      <c r="BK118" s="463">
        <f t="shared" si="225"/>
        <v>9.2951172902127691E-3</v>
      </c>
      <c r="BL118">
        <f t="shared" si="226"/>
        <v>3.7699999999999999E-3</v>
      </c>
      <c r="BM118">
        <f t="shared" si="227"/>
        <v>4.6358392434988193E-6</v>
      </c>
      <c r="BN118">
        <f t="shared" si="228"/>
        <v>2.224951836005773E-2</v>
      </c>
      <c r="BO118" s="147">
        <f t="shared" si="229"/>
        <v>22.173676587719775</v>
      </c>
      <c r="BP118" s="153">
        <f t="shared" si="230"/>
        <v>3.2000000000000002E-3</v>
      </c>
      <c r="BQ118" s="153">
        <f t="shared" si="231"/>
        <v>3.2000000000000002E-3</v>
      </c>
      <c r="BR118" s="463"/>
      <c r="BT118" s="147">
        <f t="shared" si="232"/>
        <v>6.4</v>
      </c>
      <c r="BU118" s="463">
        <f t="shared" si="233"/>
        <v>1.4625316866745989E-3</v>
      </c>
      <c r="BV118" s="463">
        <f t="shared" si="234"/>
        <v>8.5881268746222598E-3</v>
      </c>
      <c r="BW118" s="463">
        <f t="shared" si="235"/>
        <v>4.3052970844084383E-4</v>
      </c>
      <c r="BX118" s="463">
        <f t="shared" si="236"/>
        <v>0</v>
      </c>
      <c r="BY118" s="463">
        <f t="shared" si="180"/>
        <v>1.1748782157925216E-2</v>
      </c>
      <c r="BZ118" s="463">
        <f t="shared" si="166"/>
        <v>1.0481188269737702E-2</v>
      </c>
      <c r="CA118" s="549">
        <f t="shared" si="237"/>
        <v>3.4944928036100532E-3</v>
      </c>
      <c r="CB118" s="147">
        <f t="shared" si="238"/>
        <v>36.205651501010678</v>
      </c>
      <c r="CC118" s="153">
        <f t="shared" si="168"/>
        <v>4.3892793321593002E-2</v>
      </c>
      <c r="CD118" s="5">
        <f t="shared" si="239"/>
        <v>0.248</v>
      </c>
      <c r="CE118" s="153">
        <f t="shared" si="240"/>
        <v>0.84962700578484607</v>
      </c>
      <c r="CF118" s="5">
        <f t="shared" si="241"/>
        <v>84.962700578484601</v>
      </c>
      <c r="CG118">
        <f t="shared" si="242"/>
        <v>8</v>
      </c>
      <c r="CI118" s="59">
        <f t="shared" si="243"/>
        <v>-50</v>
      </c>
      <c r="CJ118">
        <f t="shared" si="244"/>
        <v>-50</v>
      </c>
    </row>
    <row r="119" spans="5:88" x14ac:dyDescent="0.25">
      <c r="E119" s="150">
        <v>9</v>
      </c>
      <c r="F119" s="191">
        <f t="shared" si="245"/>
        <v>8.9999999999999993E-3</v>
      </c>
      <c r="G119" s="191">
        <f t="shared" si="183"/>
        <v>8.9999999999999993E-3</v>
      </c>
      <c r="H119" s="191">
        <f t="shared" si="184"/>
        <v>0.13499999999999998</v>
      </c>
      <c r="I119" s="191">
        <f t="shared" si="185"/>
        <v>0.14399999999999999</v>
      </c>
      <c r="J119" s="472">
        <f t="shared" si="186"/>
        <v>13</v>
      </c>
      <c r="K119" s="386">
        <f t="shared" si="187"/>
        <v>15.32</v>
      </c>
      <c r="L119" s="386">
        <f t="shared" si="188"/>
        <v>28.32</v>
      </c>
      <c r="M119" s="386"/>
      <c r="N119" s="191">
        <f t="shared" si="189"/>
        <v>0.54096045197740117</v>
      </c>
      <c r="O119" s="152">
        <f t="shared" si="190"/>
        <v>1.1484503143794424</v>
      </c>
      <c r="P119" s="152">
        <f t="shared" si="191"/>
        <v>2.5316949152542376</v>
      </c>
      <c r="Q119" s="191">
        <f t="shared" si="192"/>
        <v>7.6563354291962829E-2</v>
      </c>
      <c r="R119" s="191">
        <f t="shared" si="193"/>
        <v>7.1778144648715153E-2</v>
      </c>
      <c r="S119" s="191">
        <f t="shared" si="194"/>
        <v>15</v>
      </c>
      <c r="T119" s="191">
        <f t="shared" si="195"/>
        <v>8.8162281582647092E-2</v>
      </c>
      <c r="U119" s="191">
        <f t="shared" si="196"/>
        <v>0.31874055649110872</v>
      </c>
      <c r="V119" s="191">
        <f t="shared" si="197"/>
        <v>0.27047175159167186</v>
      </c>
      <c r="W119" s="175">
        <f t="shared" si="198"/>
        <v>350</v>
      </c>
      <c r="X119" s="386">
        <f t="shared" si="199"/>
        <v>350</v>
      </c>
      <c r="Z119" s="191">
        <f t="shared" si="200"/>
        <v>0.42750674016451157</v>
      </c>
      <c r="AA119" s="153">
        <f t="shared" si="201"/>
        <v>1.3115415657788541</v>
      </c>
      <c r="AB119" s="153">
        <f t="shared" si="202"/>
        <v>4.7478024382677106E-2</v>
      </c>
      <c r="AC119" s="153"/>
      <c r="AD119" s="153">
        <f t="shared" si="203"/>
        <v>0.46018276762402083</v>
      </c>
      <c r="AE119" s="317">
        <f t="shared" si="204"/>
        <v>260.76595744680856</v>
      </c>
      <c r="AF119" s="463">
        <f t="shared" si="205"/>
        <v>1.2079797650130546E-2</v>
      </c>
      <c r="AH119" s="153">
        <f t="shared" si="206"/>
        <v>0.18417647147335867</v>
      </c>
      <c r="AI119" s="153">
        <f t="shared" si="207"/>
        <v>0.18417647147335867</v>
      </c>
      <c r="AJ119" s="153">
        <f t="shared" si="208"/>
        <v>1.1490091185410334</v>
      </c>
      <c r="AL119" s="317">
        <f t="shared" si="209"/>
        <v>9</v>
      </c>
      <c r="AM119" s="147">
        <f t="shared" si="210"/>
        <v>260.76595744680856</v>
      </c>
      <c r="AO119" s="147">
        <f t="shared" si="211"/>
        <v>9</v>
      </c>
      <c r="AP119" s="147">
        <f t="shared" si="212"/>
        <v>260.76595744680856</v>
      </c>
      <c r="AR119" s="5">
        <f t="shared" si="160"/>
        <v>3.8348563968668401</v>
      </c>
      <c r="AS119" s="5">
        <f t="shared" si="246"/>
        <v>0.66586878148060435</v>
      </c>
      <c r="AT119" s="5">
        <f t="shared" si="247"/>
        <v>3.1689876153862357</v>
      </c>
      <c r="AU119" s="153">
        <f t="shared" si="248"/>
        <v>0.17363591033672954</v>
      </c>
      <c r="AW119" s="5">
        <f t="shared" si="216"/>
        <v>3.9952126888836259E-2</v>
      </c>
      <c r="AX119" s="5"/>
      <c r="AY119" s="5">
        <f t="shared" si="217"/>
        <v>3.7455118958283989E-2</v>
      </c>
      <c r="AZ119" s="5"/>
      <c r="BA119" s="5">
        <f t="shared" si="218"/>
        <v>4.8753655621326691E-2</v>
      </c>
      <c r="BB119" s="5"/>
      <c r="BC119" s="5"/>
      <c r="BD119" s="153">
        <f t="shared" si="219"/>
        <v>4.4309137374487759E-2</v>
      </c>
      <c r="BE119" s="153">
        <f t="shared" si="220"/>
        <v>9.6662770633722986E-2</v>
      </c>
      <c r="BF119" s="153">
        <f t="shared" si="221"/>
        <v>9.6789127196642885E-2</v>
      </c>
      <c r="BG119" s="153"/>
      <c r="BH119" s="463">
        <f t="shared" si="222"/>
        <v>6.8715487920492971E-4</v>
      </c>
      <c r="BI119" s="463">
        <f t="shared" si="223"/>
        <v>6.8006166754862084E-3</v>
      </c>
      <c r="BJ119" s="463">
        <f t="shared" si="224"/>
        <v>3.2595744680851066E-3</v>
      </c>
      <c r="BK119" s="463">
        <f t="shared" si="225"/>
        <v>1.0457006951489364E-2</v>
      </c>
      <c r="BL119">
        <f t="shared" si="226"/>
        <v>3.7699999999999999E-3</v>
      </c>
      <c r="BM119">
        <f t="shared" si="227"/>
        <v>5.2153191489361716E-6</v>
      </c>
      <c r="BN119">
        <f t="shared" si="228"/>
        <v>2.507551327756655E-2</v>
      </c>
      <c r="BO119" s="147">
        <f t="shared" si="229"/>
        <v>24.974352974265607</v>
      </c>
      <c r="BP119" s="153">
        <f t="shared" si="230"/>
        <v>3.5999999999999999E-3</v>
      </c>
      <c r="BQ119" s="153">
        <f t="shared" si="231"/>
        <v>3.5999999999999999E-3</v>
      </c>
      <c r="BR119" s="463"/>
      <c r="BT119" s="147">
        <f t="shared" si="232"/>
        <v>7.2</v>
      </c>
      <c r="BU119" s="463">
        <f t="shared" si="233"/>
        <v>1.9632996548712279E-3</v>
      </c>
      <c r="BV119" s="463">
        <f t="shared" si="234"/>
        <v>9.3436912265877393E-3</v>
      </c>
      <c r="BW119" s="463">
        <f t="shared" si="235"/>
        <v>4.6840675717439582E-4</v>
      </c>
      <c r="BX119" s="463">
        <f t="shared" si="236"/>
        <v>0</v>
      </c>
      <c r="BY119" s="463">
        <f t="shared" si="180"/>
        <v>1.3200881005110604E-2</v>
      </c>
      <c r="BZ119" s="463">
        <f t="shared" si="166"/>
        <v>1.1775397638633363E-2</v>
      </c>
      <c r="CA119" s="549">
        <f t="shared" si="237"/>
        <v>4.4227174545689732E-3</v>
      </c>
      <c r="CB119" s="147">
        <f t="shared" si="238"/>
        <v>41.1743937369463</v>
      </c>
      <c r="CC119" s="153">
        <f t="shared" si="168"/>
        <v>4.9899111737246128E-2</v>
      </c>
      <c r="CD119" s="5">
        <f t="shared" si="239"/>
        <v>0.27899999999999997</v>
      </c>
      <c r="CE119" s="153">
        <f t="shared" si="240"/>
        <v>0.84828444359828492</v>
      </c>
      <c r="CF119" s="5">
        <f t="shared" si="241"/>
        <v>84.828444359828495</v>
      </c>
      <c r="CG119">
        <f t="shared" si="242"/>
        <v>8.9999999999999982</v>
      </c>
      <c r="CI119" s="59">
        <f t="shared" si="243"/>
        <v>-50</v>
      </c>
      <c r="CJ119">
        <f t="shared" si="244"/>
        <v>-50</v>
      </c>
    </row>
    <row r="120" spans="5:88" x14ac:dyDescent="0.25">
      <c r="E120" s="150">
        <v>10</v>
      </c>
      <c r="F120" s="191">
        <f t="shared" si="245"/>
        <v>1.0000000000000002E-2</v>
      </c>
      <c r="G120" s="191">
        <f t="shared" si="183"/>
        <v>1.0000000000000002E-2</v>
      </c>
      <c r="H120" s="191">
        <f t="shared" si="184"/>
        <v>0.15000000000000002</v>
      </c>
      <c r="I120" s="191">
        <f t="shared" si="185"/>
        <v>0.16000000000000003</v>
      </c>
      <c r="J120" s="472">
        <f t="shared" si="186"/>
        <v>13</v>
      </c>
      <c r="K120" s="386">
        <f t="shared" si="187"/>
        <v>15.32</v>
      </c>
      <c r="L120" s="386">
        <f t="shared" si="188"/>
        <v>28.32</v>
      </c>
      <c r="M120" s="386"/>
      <c r="N120" s="191">
        <f t="shared" si="189"/>
        <v>0.54096045197740117</v>
      </c>
      <c r="O120" s="152">
        <f t="shared" si="190"/>
        <v>1.1484503143794424</v>
      </c>
      <c r="P120" s="152">
        <f t="shared" si="191"/>
        <v>2.5316949152542376</v>
      </c>
      <c r="Q120" s="191">
        <f t="shared" si="192"/>
        <v>7.6563354291962829E-2</v>
      </c>
      <c r="R120" s="191">
        <f t="shared" si="193"/>
        <v>7.1778144648715153E-2</v>
      </c>
      <c r="S120" s="191">
        <f t="shared" si="194"/>
        <v>15</v>
      </c>
      <c r="T120" s="191">
        <f t="shared" si="195"/>
        <v>9.7958090647385684E-2</v>
      </c>
      <c r="U120" s="191">
        <f t="shared" si="196"/>
        <v>0.35415617387900972</v>
      </c>
      <c r="V120" s="191">
        <f t="shared" si="197"/>
        <v>0.30052416843519103</v>
      </c>
      <c r="W120" s="175">
        <f t="shared" si="198"/>
        <v>350</v>
      </c>
      <c r="X120" s="386">
        <f t="shared" si="199"/>
        <v>350</v>
      </c>
      <c r="Z120" s="191">
        <f t="shared" si="200"/>
        <v>0.42750674016451157</v>
      </c>
      <c r="AA120" s="153">
        <f t="shared" si="201"/>
        <v>1.3115415657788541</v>
      </c>
      <c r="AB120" s="153">
        <f t="shared" si="202"/>
        <v>4.7478024382677106E-2</v>
      </c>
      <c r="AC120" s="153"/>
      <c r="AD120" s="153">
        <f t="shared" si="203"/>
        <v>0.46018276762402083</v>
      </c>
      <c r="AE120" s="317">
        <f t="shared" si="204"/>
        <v>289.73995271867625</v>
      </c>
      <c r="AF120" s="463">
        <f t="shared" si="205"/>
        <v>1.2079797650130546E-2</v>
      </c>
      <c r="AH120" s="153">
        <f t="shared" si="206"/>
        <v>0.19413904708961366</v>
      </c>
      <c r="AI120" s="153">
        <f t="shared" si="207"/>
        <v>0.19413904708961366</v>
      </c>
      <c r="AJ120" s="153">
        <f t="shared" si="208"/>
        <v>1.1655656872678151</v>
      </c>
      <c r="AL120" s="317">
        <f t="shared" si="209"/>
        <v>10.000000000000002</v>
      </c>
      <c r="AM120" s="147">
        <f t="shared" si="210"/>
        <v>289.73995271867625</v>
      </c>
      <c r="AO120" s="147">
        <f t="shared" si="211"/>
        <v>10.000000000000002</v>
      </c>
      <c r="AP120" s="147">
        <f t="shared" si="212"/>
        <v>289.73995271867625</v>
      </c>
      <c r="AR120" s="5">
        <f t="shared" si="160"/>
        <v>3.4513707571801548</v>
      </c>
      <c r="AS120" s="5">
        <f t="shared" si="246"/>
        <v>0.70188732409321863</v>
      </c>
      <c r="AT120" s="5">
        <f t="shared" si="247"/>
        <v>2.7494834330869362</v>
      </c>
      <c r="AU120" s="153">
        <f t="shared" si="248"/>
        <v>0.20336480009660737</v>
      </c>
      <c r="AW120" s="5">
        <f t="shared" si="216"/>
        <v>4.6792488272881252E-2</v>
      </c>
      <c r="AX120" s="5"/>
      <c r="AY120" s="5">
        <f t="shared" si="217"/>
        <v>4.3867957755826172E-2</v>
      </c>
      <c r="AZ120" s="5"/>
      <c r="BA120" s="5">
        <f t="shared" si="218"/>
        <v>4.6999716804904897E-2</v>
      </c>
      <c r="BB120" s="5"/>
      <c r="BC120" s="5"/>
      <c r="BD120" s="153">
        <f t="shared" si="219"/>
        <v>5.0546391675833198E-2</v>
      </c>
      <c r="BE120" s="153">
        <f t="shared" si="220"/>
        <v>0.10004191866499931</v>
      </c>
      <c r="BF120" s="153">
        <f t="shared" si="221"/>
        <v>0.1001726924148882</v>
      </c>
      <c r="BG120" s="153"/>
      <c r="BH120" s="463">
        <f t="shared" si="222"/>
        <v>8.9422819900635887E-4</v>
      </c>
      <c r="BI120" s="463">
        <f t="shared" si="223"/>
        <v>7.9649771067624442E-3</v>
      </c>
      <c r="BJ120" s="463">
        <f t="shared" si="224"/>
        <v>3.6217494089834526E-3</v>
      </c>
      <c r="BK120" s="463">
        <f t="shared" si="225"/>
        <v>1.1618896612765963E-2</v>
      </c>
      <c r="BL120">
        <f t="shared" si="226"/>
        <v>3.7699999999999999E-3</v>
      </c>
      <c r="BM120">
        <f t="shared" si="227"/>
        <v>5.7947990543735247E-6</v>
      </c>
      <c r="BN120">
        <f t="shared" si="228"/>
        <v>2.8000986679101871E-2</v>
      </c>
      <c r="BO120" s="147">
        <f t="shared" si="229"/>
        <v>27.869851327518219</v>
      </c>
      <c r="BP120" s="153">
        <f t="shared" si="230"/>
        <v>4.000000000000001E-3</v>
      </c>
      <c r="BQ120" s="153">
        <f t="shared" si="231"/>
        <v>4.000000000000001E-3</v>
      </c>
      <c r="BR120" s="463"/>
      <c r="BT120" s="147">
        <f t="shared" si="232"/>
        <v>8.0000000000000018</v>
      </c>
      <c r="BU120" s="463">
        <f t="shared" si="233"/>
        <v>2.5549377114467398E-3</v>
      </c>
      <c r="BV120" s="463">
        <f t="shared" si="234"/>
        <v>1.0008385490174338E-2</v>
      </c>
      <c r="BW120" s="463">
        <f t="shared" si="235"/>
        <v>5.0172841528238997E-4</v>
      </c>
      <c r="BX120" s="463">
        <f t="shared" si="236"/>
        <v>0</v>
      </c>
      <c r="BY120" s="463">
        <f t="shared" si="180"/>
        <v>1.464816813675587E-2</v>
      </c>
      <c r="BZ120" s="463">
        <f t="shared" si="166"/>
        <v>1.3065051616903469E-2</v>
      </c>
      <c r="CA120" s="549">
        <f t="shared" si="237"/>
        <v>5.4601450056407106E-3</v>
      </c>
      <c r="CB120" s="147">
        <f t="shared" si="238"/>
        <v>46.238416376203517</v>
      </c>
      <c r="CC120" s="153">
        <f t="shared" si="168"/>
        <v>5.6109299821498454E-2</v>
      </c>
      <c r="CD120" s="5">
        <f t="shared" si="239"/>
        <v>0.31000000000000005</v>
      </c>
      <c r="CE120" s="153">
        <f t="shared" si="240"/>
        <v>0.84674167018195023</v>
      </c>
      <c r="CF120" s="5">
        <f t="shared" si="241"/>
        <v>84.674167018195021</v>
      </c>
      <c r="CG120">
        <f t="shared" si="242"/>
        <v>10.000000000000002</v>
      </c>
      <c r="CI120" s="59">
        <f t="shared" si="243"/>
        <v>-50</v>
      </c>
      <c r="CJ120">
        <f t="shared" si="244"/>
        <v>-50</v>
      </c>
    </row>
    <row r="121" spans="5:88" x14ac:dyDescent="0.25">
      <c r="E121" s="150">
        <v>11</v>
      </c>
      <c r="F121" s="191">
        <f t="shared" si="245"/>
        <v>1.1000000000000001E-2</v>
      </c>
      <c r="G121" s="191">
        <f t="shared" si="183"/>
        <v>1.1000000000000001E-2</v>
      </c>
      <c r="H121" s="191">
        <f t="shared" si="184"/>
        <v>0.16500000000000001</v>
      </c>
      <c r="I121" s="191">
        <f t="shared" si="185"/>
        <v>0.17600000000000002</v>
      </c>
      <c r="J121" s="472">
        <f t="shared" si="186"/>
        <v>13</v>
      </c>
      <c r="K121" s="386">
        <f t="shared" si="187"/>
        <v>15.32</v>
      </c>
      <c r="L121" s="386">
        <f t="shared" si="188"/>
        <v>28.32</v>
      </c>
      <c r="M121" s="386"/>
      <c r="N121" s="191">
        <f t="shared" si="189"/>
        <v>0.54096045197740117</v>
      </c>
      <c r="O121" s="152">
        <f t="shared" si="190"/>
        <v>1.1484503143794424</v>
      </c>
      <c r="P121" s="152">
        <f t="shared" si="191"/>
        <v>2.5316949152542376</v>
      </c>
      <c r="Q121" s="191">
        <f t="shared" si="192"/>
        <v>7.6563354291962829E-2</v>
      </c>
      <c r="R121" s="191">
        <f t="shared" si="193"/>
        <v>7.1778144648715153E-2</v>
      </c>
      <c r="S121" s="191">
        <f t="shared" si="194"/>
        <v>15</v>
      </c>
      <c r="T121" s="191">
        <f t="shared" si="195"/>
        <v>0.10775389971212423</v>
      </c>
      <c r="U121" s="191">
        <f t="shared" si="196"/>
        <v>0.38957179126691066</v>
      </c>
      <c r="V121" s="191">
        <f t="shared" si="197"/>
        <v>0.33057658527871009</v>
      </c>
      <c r="W121" s="175">
        <f t="shared" si="198"/>
        <v>350</v>
      </c>
      <c r="X121" s="386">
        <f t="shared" si="199"/>
        <v>350</v>
      </c>
      <c r="Z121" s="191">
        <f t="shared" si="200"/>
        <v>0.42750674016451157</v>
      </c>
      <c r="AA121" s="153">
        <f t="shared" si="201"/>
        <v>1.3115415657788541</v>
      </c>
      <c r="AB121" s="153">
        <f t="shared" si="202"/>
        <v>4.7478024382677106E-2</v>
      </c>
      <c r="AC121" s="153"/>
      <c r="AD121" s="153">
        <f t="shared" si="203"/>
        <v>0.46018276762402083</v>
      </c>
      <c r="AE121" s="317">
        <f t="shared" si="204"/>
        <v>318.71394799054383</v>
      </c>
      <c r="AF121" s="463">
        <f t="shared" si="205"/>
        <v>1.2079797650130546E-2</v>
      </c>
      <c r="AH121" s="153">
        <f t="shared" si="206"/>
        <v>0.20361475036290852</v>
      </c>
      <c r="AI121" s="153">
        <f t="shared" si="207"/>
        <v>0.20361475036290852</v>
      </c>
      <c r="AJ121" s="153">
        <f t="shared" si="208"/>
        <v>1.1821222559945965</v>
      </c>
      <c r="AL121" s="317">
        <f t="shared" si="209"/>
        <v>11.000000000000002</v>
      </c>
      <c r="AM121" s="147">
        <f t="shared" si="210"/>
        <v>318.71394799054383</v>
      </c>
      <c r="AO121" s="147">
        <f t="shared" si="211"/>
        <v>11.000000000000002</v>
      </c>
      <c r="AP121" s="147">
        <f t="shared" si="212"/>
        <v>318.71394799054383</v>
      </c>
      <c r="AR121" s="5">
        <f t="shared" si="160"/>
        <v>3.1376097792546869</v>
      </c>
      <c r="AS121" s="5">
        <f t="shared" si="246"/>
        <v>0.73614563592743854</v>
      </c>
      <c r="AT121" s="5">
        <f t="shared" si="247"/>
        <v>2.4014641433272486</v>
      </c>
      <c r="AU121" s="153">
        <f t="shared" si="248"/>
        <v>0.23461988192244346</v>
      </c>
      <c r="AW121" s="5">
        <f t="shared" si="216"/>
        <v>5.3984013301345501E-2</v>
      </c>
      <c r="AX121" s="5"/>
      <c r="AY121" s="5">
        <f t="shared" si="217"/>
        <v>5.0610012470011401E-2</v>
      </c>
      <c r="AZ121" s="5"/>
      <c r="BA121" s="5">
        <f t="shared" si="218"/>
        <v>4.5155736028375616E-2</v>
      </c>
      <c r="BB121" s="5"/>
      <c r="BC121" s="5"/>
      <c r="BD121" s="153">
        <f t="shared" si="219"/>
        <v>5.694177681394931E-2</v>
      </c>
      <c r="BE121" s="153">
        <f t="shared" si="220"/>
        <v>0.10284595069837982</v>
      </c>
      <c r="BF121" s="153">
        <f t="shared" si="221"/>
        <v>0.10298038984961953</v>
      </c>
      <c r="BG121" s="153"/>
      <c r="BH121" s="463">
        <f t="shared" si="222"/>
        <v>1.1348280813553652E-3</v>
      </c>
      <c r="BI121" s="463">
        <f t="shared" si="223"/>
        <v>9.1891123115496569E-3</v>
      </c>
      <c r="BJ121" s="463">
        <f t="shared" si="224"/>
        <v>3.9839243498817978E-3</v>
      </c>
      <c r="BK121" s="463">
        <f t="shared" si="225"/>
        <v>1.2780786274042558E-2</v>
      </c>
      <c r="BL121">
        <f t="shared" si="226"/>
        <v>3.7699999999999999E-3</v>
      </c>
      <c r="BM121">
        <f t="shared" si="227"/>
        <v>6.374278959810877E-6</v>
      </c>
      <c r="BN121">
        <f t="shared" si="228"/>
        <v>3.1024722912362558E-2</v>
      </c>
      <c r="BO121" s="147">
        <f t="shared" si="229"/>
        <v>30.858651016829377</v>
      </c>
      <c r="BP121" s="153">
        <f t="shared" si="230"/>
        <v>4.4000000000000003E-3</v>
      </c>
      <c r="BQ121" s="153">
        <f t="shared" si="231"/>
        <v>4.4000000000000003E-3</v>
      </c>
      <c r="BR121" s="463"/>
      <c r="BT121" s="147">
        <f t="shared" si="232"/>
        <v>8.8000000000000007</v>
      </c>
      <c r="BU121" s="463">
        <f t="shared" si="233"/>
        <v>3.2423659467296154E-3</v>
      </c>
      <c r="BV121" s="463">
        <f t="shared" si="234"/>
        <v>1.0577289575053573E-2</v>
      </c>
      <c r="BW121" s="463">
        <f t="shared" si="235"/>
        <v>5.3024803467898102E-4</v>
      </c>
      <c r="BX121" s="463">
        <f t="shared" si="236"/>
        <v>0</v>
      </c>
      <c r="BY121" s="463">
        <f t="shared" si="180"/>
        <v>1.6090363596501487E-2</v>
      </c>
      <c r="BZ121" s="463">
        <f t="shared" si="166"/>
        <v>1.4349903556462169E-2</v>
      </c>
      <c r="CA121" s="549">
        <f t="shared" si="237"/>
        <v>6.6067754568252569E-3</v>
      </c>
      <c r="CB121" s="147">
        <f t="shared" si="238"/>
        <v>51.396946166251084</v>
      </c>
      <c r="CC121" s="153">
        <f t="shared" si="168"/>
        <v>6.2521861965689304E-2</v>
      </c>
      <c r="CD121" s="5">
        <f t="shared" si="239"/>
        <v>0.34100000000000003</v>
      </c>
      <c r="CE121" s="153">
        <f t="shared" si="240"/>
        <v>0.84505954234765746</v>
      </c>
      <c r="CF121" s="5">
        <f t="shared" si="241"/>
        <v>84.505954234765738</v>
      </c>
      <c r="CG121">
        <f t="shared" si="242"/>
        <v>11</v>
      </c>
      <c r="CI121" s="59">
        <f t="shared" si="243"/>
        <v>-50</v>
      </c>
      <c r="CJ121">
        <f t="shared" si="244"/>
        <v>-50</v>
      </c>
    </row>
    <row r="122" spans="5:88" x14ac:dyDescent="0.25">
      <c r="E122" s="150">
        <v>12</v>
      </c>
      <c r="F122" s="191">
        <f t="shared" si="245"/>
        <v>1.2E-2</v>
      </c>
      <c r="G122" s="191">
        <f t="shared" si="183"/>
        <v>1.2E-2</v>
      </c>
      <c r="H122" s="191">
        <f t="shared" si="184"/>
        <v>0.18</v>
      </c>
      <c r="I122" s="191">
        <f t="shared" si="185"/>
        <v>0.192</v>
      </c>
      <c r="J122" s="472">
        <f t="shared" si="186"/>
        <v>13</v>
      </c>
      <c r="K122" s="386">
        <f t="shared" si="187"/>
        <v>15.32</v>
      </c>
      <c r="L122" s="386">
        <f t="shared" si="188"/>
        <v>28.32</v>
      </c>
      <c r="M122" s="386"/>
      <c r="N122" s="191">
        <f t="shared" si="189"/>
        <v>0.54096045197740117</v>
      </c>
      <c r="O122" s="152">
        <f t="shared" si="190"/>
        <v>1.1484503143794424</v>
      </c>
      <c r="P122" s="152">
        <f t="shared" si="191"/>
        <v>2.5316949152542376</v>
      </c>
      <c r="Q122" s="191">
        <f t="shared" si="192"/>
        <v>7.6563354291962829E-2</v>
      </c>
      <c r="R122" s="191">
        <f t="shared" si="193"/>
        <v>7.1778144648715153E-2</v>
      </c>
      <c r="S122" s="191">
        <f t="shared" si="194"/>
        <v>15</v>
      </c>
      <c r="T122" s="191">
        <f t="shared" si="195"/>
        <v>0.1175497087768628</v>
      </c>
      <c r="U122" s="191">
        <f t="shared" si="196"/>
        <v>0.42498740865481166</v>
      </c>
      <c r="V122" s="191">
        <f t="shared" si="197"/>
        <v>0.3606290021222292</v>
      </c>
      <c r="W122" s="175">
        <f t="shared" si="198"/>
        <v>350</v>
      </c>
      <c r="X122" s="386">
        <f t="shared" si="199"/>
        <v>350</v>
      </c>
      <c r="Z122" s="191">
        <f t="shared" si="200"/>
        <v>0.42750674016451157</v>
      </c>
      <c r="AA122" s="153">
        <f t="shared" si="201"/>
        <v>1.3115415657788541</v>
      </c>
      <c r="AB122" s="153">
        <f t="shared" si="202"/>
        <v>4.7478024382677106E-2</v>
      </c>
      <c r="AC122" s="153"/>
      <c r="AD122" s="153">
        <f t="shared" si="203"/>
        <v>0.46018276762402083</v>
      </c>
      <c r="AE122" s="317">
        <f t="shared" si="204"/>
        <v>347.68794326241147</v>
      </c>
      <c r="AF122" s="463">
        <f t="shared" si="205"/>
        <v>1.2079797650130546E-2</v>
      </c>
      <c r="AH122" s="153">
        <f t="shared" si="206"/>
        <v>0.21266867076707813</v>
      </c>
      <c r="AI122" s="153">
        <f t="shared" si="207"/>
        <v>0.21266867076707813</v>
      </c>
      <c r="AJ122" s="153">
        <f t="shared" si="208"/>
        <v>1.198678824721378</v>
      </c>
      <c r="AL122" s="317">
        <f t="shared" si="209"/>
        <v>12</v>
      </c>
      <c r="AM122" s="147">
        <f t="shared" si="210"/>
        <v>347.68794326241147</v>
      </c>
      <c r="AO122" s="147">
        <f t="shared" si="211"/>
        <v>12</v>
      </c>
      <c r="AP122" s="147">
        <f t="shared" si="212"/>
        <v>347.68794326241147</v>
      </c>
      <c r="AR122" s="5">
        <f t="shared" si="160"/>
        <v>2.8761422976501296</v>
      </c>
      <c r="AS122" s="5">
        <f t="shared" si="246"/>
        <v>0.76887904046559008</v>
      </c>
      <c r="AT122" s="5">
        <f t="shared" si="247"/>
        <v>2.1072632571845396</v>
      </c>
      <c r="AU122" s="153">
        <f t="shared" si="248"/>
        <v>0.26732997219705745</v>
      </c>
      <c r="AW122" s="5">
        <f t="shared" si="216"/>
        <v>6.15103232372472E-2</v>
      </c>
      <c r="AX122" s="5"/>
      <c r="AY122" s="5">
        <f t="shared" si="217"/>
        <v>5.7665928034919253E-2</v>
      </c>
      <c r="AZ122" s="5"/>
      <c r="BA122" s="5">
        <f t="shared" si="218"/>
        <v>4.322591296788799E-2</v>
      </c>
      <c r="BB122" s="5"/>
      <c r="BC122" s="5"/>
      <c r="BD122" s="153">
        <f t="shared" si="219"/>
        <v>6.3484355636884357E-2</v>
      </c>
      <c r="BE122" s="153">
        <f t="shared" si="220"/>
        <v>0.10509864143420161</v>
      </c>
      <c r="BF122" s="153">
        <f t="shared" si="221"/>
        <v>0.10523602527921362</v>
      </c>
      <c r="BG122" s="153"/>
      <c r="BH122" s="463">
        <f t="shared" si="222"/>
        <v>1.4105921937206437E-3</v>
      </c>
      <c r="BI122" s="463">
        <f t="shared" si="223"/>
        <v>1.0470234315326456E-2</v>
      </c>
      <c r="BJ122" s="463">
        <f t="shared" si="224"/>
        <v>4.346099290780143E-3</v>
      </c>
      <c r="BK122" s="463">
        <f t="shared" si="225"/>
        <v>1.3942675935319154E-2</v>
      </c>
      <c r="BL122">
        <f t="shared" si="226"/>
        <v>3.7699999999999999E-3</v>
      </c>
      <c r="BM122">
        <f t="shared" si="227"/>
        <v>6.9537588652482293E-6</v>
      </c>
      <c r="BN122">
        <f t="shared" si="228"/>
        <v>3.4145872048817222E-2</v>
      </c>
      <c r="BO122" s="147">
        <f t="shared" si="229"/>
        <v>33.939601735146397</v>
      </c>
      <c r="BP122" s="153">
        <f t="shared" si="230"/>
        <v>4.8000000000000004E-3</v>
      </c>
      <c r="BQ122" s="153">
        <f t="shared" si="231"/>
        <v>4.8000000000000004E-3</v>
      </c>
      <c r="BR122" s="463"/>
      <c r="BT122" s="147">
        <f t="shared" si="232"/>
        <v>9.6000000000000014</v>
      </c>
      <c r="BU122" s="463">
        <f t="shared" si="233"/>
        <v>4.0302634106304108E-3</v>
      </c>
      <c r="BV122" s="463">
        <f t="shared" si="234"/>
        <v>1.1045724431314879E-2</v>
      </c>
      <c r="BW122" s="463">
        <f t="shared" si="235"/>
        <v>5.5373105082836443E-4</v>
      </c>
      <c r="BX122" s="463">
        <f t="shared" si="236"/>
        <v>0</v>
      </c>
      <c r="BY122" s="463">
        <f t="shared" si="180"/>
        <v>1.7527200777596976E-2</v>
      </c>
      <c r="BZ122" s="463">
        <f t="shared" si="166"/>
        <v>1.5629718892773654E-2</v>
      </c>
      <c r="CA122" s="549">
        <f t="shared" si="237"/>
        <v>7.862608808122621E-3</v>
      </c>
      <c r="CB122" s="147">
        <f t="shared" si="238"/>
        <v>56.649247371266902</v>
      </c>
      <c r="CC122" s="153">
        <f t="shared" si="168"/>
        <v>6.9135681634536816E-2</v>
      </c>
      <c r="CD122" s="5">
        <f t="shared" si="239"/>
        <v>0.372</v>
      </c>
      <c r="CE122" s="153">
        <f t="shared" si="240"/>
        <v>0.84327796523199194</v>
      </c>
      <c r="CF122" s="5">
        <f t="shared" si="241"/>
        <v>84.327796523199197</v>
      </c>
      <c r="CG122">
        <f t="shared" si="242"/>
        <v>12</v>
      </c>
      <c r="CI122" s="59">
        <f t="shared" si="243"/>
        <v>-50</v>
      </c>
      <c r="CJ122">
        <f t="shared" si="244"/>
        <v>-50</v>
      </c>
    </row>
    <row r="123" spans="5:88" x14ac:dyDescent="0.25">
      <c r="E123" s="150">
        <v>13</v>
      </c>
      <c r="F123" s="191">
        <f t="shared" si="245"/>
        <v>1.3000000000000001E-2</v>
      </c>
      <c r="G123" s="191">
        <f t="shared" si="183"/>
        <v>1.3000000000000001E-2</v>
      </c>
      <c r="H123" s="191">
        <f t="shared" si="184"/>
        <v>0.19500000000000001</v>
      </c>
      <c r="I123" s="191">
        <f t="shared" si="185"/>
        <v>0.20800000000000002</v>
      </c>
      <c r="J123" s="472">
        <f t="shared" si="186"/>
        <v>13</v>
      </c>
      <c r="K123" s="386">
        <f t="shared" si="187"/>
        <v>15.32</v>
      </c>
      <c r="L123" s="386">
        <f t="shared" si="188"/>
        <v>28.32</v>
      </c>
      <c r="M123" s="386"/>
      <c r="N123" s="191">
        <f t="shared" si="189"/>
        <v>0.54096045197740117</v>
      </c>
      <c r="O123" s="152">
        <f t="shared" si="190"/>
        <v>1.1484503143794424</v>
      </c>
      <c r="P123" s="152">
        <f t="shared" si="191"/>
        <v>2.5316949152542376</v>
      </c>
      <c r="Q123" s="191">
        <f t="shared" si="192"/>
        <v>7.6563354291962829E-2</v>
      </c>
      <c r="R123" s="191">
        <f t="shared" si="193"/>
        <v>7.1778144648715153E-2</v>
      </c>
      <c r="S123" s="191">
        <f t="shared" si="194"/>
        <v>15</v>
      </c>
      <c r="T123" s="191">
        <f t="shared" si="195"/>
        <v>0.12734551784160136</v>
      </c>
      <c r="U123" s="191">
        <f t="shared" si="196"/>
        <v>0.4604030260427126</v>
      </c>
      <c r="V123" s="191">
        <f t="shared" si="197"/>
        <v>0.39068141896574826</v>
      </c>
      <c r="W123" s="175">
        <f t="shared" si="198"/>
        <v>350</v>
      </c>
      <c r="X123" s="386">
        <f t="shared" si="199"/>
        <v>350</v>
      </c>
      <c r="Z123" s="191">
        <f t="shared" si="200"/>
        <v>0.42750674016451157</v>
      </c>
      <c r="AA123" s="153">
        <f t="shared" si="201"/>
        <v>1.3115415657788541</v>
      </c>
      <c r="AB123" s="153">
        <f t="shared" si="202"/>
        <v>4.7478024382677106E-2</v>
      </c>
      <c r="AC123" s="153"/>
      <c r="AD123" s="153">
        <f t="shared" si="203"/>
        <v>0.46018276762402083</v>
      </c>
      <c r="AE123" s="317">
        <f t="shared" si="204"/>
        <v>376.66193853427905</v>
      </c>
      <c r="AF123" s="463">
        <f t="shared" si="205"/>
        <v>1.2079797650130546E-2</v>
      </c>
      <c r="AH123" s="153">
        <f t="shared" si="206"/>
        <v>0.22135257054374183</v>
      </c>
      <c r="AI123" s="153">
        <f t="shared" si="207"/>
        <v>0.22135257054374183</v>
      </c>
      <c r="AJ123" s="153">
        <f t="shared" si="208"/>
        <v>1.2528537559583273</v>
      </c>
      <c r="AL123" s="317">
        <f t="shared" si="209"/>
        <v>13.000000000000002</v>
      </c>
      <c r="AM123" s="147">
        <f t="shared" si="210"/>
        <v>350</v>
      </c>
      <c r="AO123" s="147">
        <f t="shared" si="211"/>
        <v>13.000000000000002</v>
      </c>
      <c r="AP123" s="147">
        <f t="shared" si="212"/>
        <v>350</v>
      </c>
      <c r="AR123" s="5">
        <f t="shared" si="160"/>
        <v>2.8571428571428572</v>
      </c>
      <c r="AS123" s="5">
        <f t="shared" si="246"/>
        <v>0.800274678119682</v>
      </c>
      <c r="AT123" s="5">
        <f t="shared" si="247"/>
        <v>2.0568681790231751</v>
      </c>
      <c r="AU123" s="153">
        <f t="shared" si="248"/>
        <v>0.28009613734188871</v>
      </c>
      <c r="AW123" s="5">
        <f t="shared" si="216"/>
        <v>6.9357138770372445E-2</v>
      </c>
      <c r="AX123" s="5"/>
      <c r="AY123" s="5">
        <f t="shared" si="217"/>
        <v>6.5022317597224169E-2</v>
      </c>
      <c r="AZ123" s="5"/>
      <c r="BA123" s="5">
        <f t="shared" si="218"/>
        <v>4.5708181756070554E-2</v>
      </c>
      <c r="BB123" s="5"/>
      <c r="BC123" s="5"/>
      <c r="BD123" s="153">
        <f t="shared" si="219"/>
        <v>6.7635935649899392E-2</v>
      </c>
      <c r="BE123" s="153">
        <f t="shared" si="220"/>
        <v>0.1084329302881282</v>
      </c>
      <c r="BF123" s="153">
        <f t="shared" si="221"/>
        <v>0.10857467268066169</v>
      </c>
      <c r="BG123" s="153"/>
      <c r="BH123" s="463">
        <f t="shared" si="222"/>
        <v>1.6011169269330658E-3</v>
      </c>
      <c r="BI123" s="463">
        <f t="shared" si="223"/>
        <v>1.0970233396147847E-2</v>
      </c>
      <c r="BJ123" s="463">
        <f t="shared" si="224"/>
        <v>4.3749999999999995E-3</v>
      </c>
      <c r="BK123" s="463">
        <f t="shared" si="225"/>
        <v>1.4035392000000001E-2</v>
      </c>
      <c r="BL123">
        <f t="shared" si="226"/>
        <v>3.7699999999999999E-3</v>
      </c>
      <c r="BM123">
        <f t="shared" si="227"/>
        <v>6.9999999999999999E-6</v>
      </c>
      <c r="BN123">
        <f t="shared" si="228"/>
        <v>3.4985227957021338E-2</v>
      </c>
      <c r="BO123" s="147">
        <f t="shared" si="229"/>
        <v>34.751742323080911</v>
      </c>
      <c r="BP123" s="153">
        <f t="shared" si="230"/>
        <v>5.2000000000000006E-3</v>
      </c>
      <c r="BQ123" s="153">
        <f t="shared" si="231"/>
        <v>5.2000000000000006E-3</v>
      </c>
      <c r="BR123" s="463"/>
      <c r="BT123" s="147">
        <f t="shared" si="232"/>
        <v>10.400000000000002</v>
      </c>
      <c r="BU123" s="463">
        <f t="shared" si="233"/>
        <v>4.5746197912373311E-3</v>
      </c>
      <c r="BV123" s="463">
        <f t="shared" si="234"/>
        <v>1.175770037087007E-2</v>
      </c>
      <c r="BW123" s="463">
        <f t="shared" si="235"/>
        <v>5.8942297738564121E-4</v>
      </c>
      <c r="BX123" s="463">
        <f t="shared" si="236"/>
        <v>0</v>
      </c>
      <c r="BY123" s="463">
        <f t="shared" si="180"/>
        <v>1.8978043642617046E-2</v>
      </c>
      <c r="BZ123" s="463">
        <f t="shared" si="166"/>
        <v>1.6921743139493042E-2</v>
      </c>
      <c r="CA123" s="549">
        <f t="shared" si="237"/>
        <v>8.5744680851063872E-3</v>
      </c>
      <c r="CB123" s="147">
        <f t="shared" si="238"/>
        <v>61.395998006709519</v>
      </c>
      <c r="CC123" s="153">
        <f t="shared" si="168"/>
        <v>7.2937739684744776E-2</v>
      </c>
      <c r="CD123" s="5">
        <f t="shared" si="239"/>
        <v>0.40300000000000002</v>
      </c>
      <c r="CE123" s="153">
        <f t="shared" si="240"/>
        <v>0.84674940942263199</v>
      </c>
      <c r="CF123" s="5">
        <f t="shared" si="241"/>
        <v>84.674940942263206</v>
      </c>
      <c r="CG123">
        <f t="shared" si="242"/>
        <v>13</v>
      </c>
      <c r="CI123" s="59">
        <f t="shared" si="243"/>
        <v>-50</v>
      </c>
      <c r="CJ123">
        <f t="shared" si="244"/>
        <v>-50</v>
      </c>
    </row>
    <row r="124" spans="5:88" x14ac:dyDescent="0.25">
      <c r="E124" s="150">
        <v>14</v>
      </c>
      <c r="F124" s="191">
        <f t="shared" si="245"/>
        <v>1.4000000000000002E-2</v>
      </c>
      <c r="G124" s="191">
        <f t="shared" si="183"/>
        <v>1.4000000000000002E-2</v>
      </c>
      <c r="H124" s="191">
        <f t="shared" si="184"/>
        <v>0.21000000000000002</v>
      </c>
      <c r="I124" s="191">
        <f t="shared" si="185"/>
        <v>0.22400000000000003</v>
      </c>
      <c r="J124" s="472">
        <f t="shared" si="186"/>
        <v>13</v>
      </c>
      <c r="K124" s="386">
        <f t="shared" si="187"/>
        <v>15.32</v>
      </c>
      <c r="L124" s="386">
        <f t="shared" si="188"/>
        <v>28.32</v>
      </c>
      <c r="M124" s="386"/>
      <c r="N124" s="191">
        <f t="shared" si="189"/>
        <v>0.54096045197740117</v>
      </c>
      <c r="O124" s="152">
        <f t="shared" si="190"/>
        <v>1.1484503143794424</v>
      </c>
      <c r="P124" s="152">
        <f t="shared" si="191"/>
        <v>2.5316949152542376</v>
      </c>
      <c r="Q124" s="191">
        <f t="shared" si="192"/>
        <v>7.6563354291962829E-2</v>
      </c>
      <c r="R124" s="191">
        <f t="shared" si="193"/>
        <v>7.1778144648715153E-2</v>
      </c>
      <c r="S124" s="191">
        <f t="shared" si="194"/>
        <v>15</v>
      </c>
      <c r="T124" s="191">
        <f t="shared" si="195"/>
        <v>0.13714132690633996</v>
      </c>
      <c r="U124" s="191">
        <f t="shared" si="196"/>
        <v>0.49581864343061371</v>
      </c>
      <c r="V124" s="191">
        <f t="shared" si="197"/>
        <v>0.42073383580926749</v>
      </c>
      <c r="W124" s="175">
        <f t="shared" si="198"/>
        <v>350</v>
      </c>
      <c r="X124" s="386">
        <f t="shared" si="199"/>
        <v>350</v>
      </c>
      <c r="Z124" s="191">
        <f t="shared" si="200"/>
        <v>0.42750674016451157</v>
      </c>
      <c r="AA124" s="153">
        <f t="shared" si="201"/>
        <v>1.3115415657788541</v>
      </c>
      <c r="AB124" s="153">
        <f t="shared" si="202"/>
        <v>4.7478024382677106E-2</v>
      </c>
      <c r="AC124" s="153"/>
      <c r="AD124" s="153">
        <f t="shared" si="203"/>
        <v>0.46018276762402083</v>
      </c>
      <c r="AE124" s="317">
        <f t="shared" si="204"/>
        <v>405.63593380614674</v>
      </c>
      <c r="AF124" s="463">
        <f t="shared" si="205"/>
        <v>1.2079797650130546E-2</v>
      </c>
      <c r="AH124" s="153">
        <f t="shared" si="206"/>
        <v>0.22970841831941755</v>
      </c>
      <c r="AI124" s="153">
        <f t="shared" si="207"/>
        <v>0.22970841831941755</v>
      </c>
      <c r="AJ124" s="153">
        <f t="shared" si="208"/>
        <v>1.259043272829198</v>
      </c>
      <c r="AL124" s="317">
        <f t="shared" si="209"/>
        <v>14.000000000000002</v>
      </c>
      <c r="AM124" s="147">
        <f t="shared" si="210"/>
        <v>350</v>
      </c>
      <c r="AO124" s="147">
        <f t="shared" si="211"/>
        <v>14.000000000000002</v>
      </c>
      <c r="AP124" s="147">
        <f t="shared" si="212"/>
        <v>350</v>
      </c>
      <c r="AR124" s="5">
        <f t="shared" si="160"/>
        <v>2.8571428571428572</v>
      </c>
      <c r="AS124" s="5">
        <f t="shared" si="246"/>
        <v>0.83048428161635579</v>
      </c>
      <c r="AT124" s="5">
        <f t="shared" si="247"/>
        <v>2.0266585755265014</v>
      </c>
      <c r="AU124" s="153">
        <f t="shared" si="248"/>
        <v>0.29066949856572449</v>
      </c>
      <c r="AW124" s="5">
        <f t="shared" si="216"/>
        <v>7.7511866284193209E-2</v>
      </c>
      <c r="AX124" s="5"/>
      <c r="AY124" s="5">
        <f t="shared" si="217"/>
        <v>7.2667374641431137E-2</v>
      </c>
      <c r="AZ124" s="5"/>
      <c r="BA124" s="5">
        <f t="shared" si="218"/>
        <v>4.8501230867300883E-2</v>
      </c>
      <c r="BB124" s="5"/>
      <c r="BC124" s="5"/>
      <c r="BD124" s="153">
        <f t="shared" si="219"/>
        <v>7.1501641921483616E-2</v>
      </c>
      <c r="BE124" s="153">
        <f t="shared" si="220"/>
        <v>0.11169676667120425</v>
      </c>
      <c r="BF124" s="153">
        <f t="shared" si="221"/>
        <v>0.11184277551652609</v>
      </c>
      <c r="BG124" s="153"/>
      <c r="BH124" s="463">
        <f t="shared" si="222"/>
        <v>1.7893696791138221E-3</v>
      </c>
      <c r="BI124" s="463">
        <f t="shared" si="223"/>
        <v>1.1384349211910335E-2</v>
      </c>
      <c r="BJ124" s="463">
        <f t="shared" si="224"/>
        <v>4.3749999999999995E-3</v>
      </c>
      <c r="BK124" s="463">
        <f t="shared" si="225"/>
        <v>1.4035392000000001E-2</v>
      </c>
      <c r="BL124">
        <f t="shared" si="226"/>
        <v>3.7699999999999999E-3</v>
      </c>
      <c r="BM124">
        <f t="shared" si="227"/>
        <v>6.9999999999999999E-6</v>
      </c>
      <c r="BN124">
        <f t="shared" si="228"/>
        <v>3.5614433500688117E-2</v>
      </c>
      <c r="BO124" s="147">
        <f t="shared" si="229"/>
        <v>35.354110891024156</v>
      </c>
      <c r="BP124" s="153">
        <f t="shared" si="230"/>
        <v>5.6000000000000008E-3</v>
      </c>
      <c r="BQ124" s="153">
        <f t="shared" si="231"/>
        <v>5.6000000000000008E-3</v>
      </c>
      <c r="BR124" s="463"/>
      <c r="BT124" s="147">
        <f t="shared" si="232"/>
        <v>11.200000000000001</v>
      </c>
      <c r="BU124" s="463">
        <f t="shared" si="233"/>
        <v>5.1124847974680634E-3</v>
      </c>
      <c r="BV124" s="463">
        <f t="shared" si="234"/>
        <v>1.2476167684801445E-2</v>
      </c>
      <c r="BW124" s="463">
        <f t="shared" si="235"/>
        <v>6.2544032176200246E-4</v>
      </c>
      <c r="BX124" s="463">
        <f t="shared" si="236"/>
        <v>0</v>
      </c>
      <c r="BY124" s="463">
        <f t="shared" si="180"/>
        <v>2.0429552401586278E-2</v>
      </c>
      <c r="BZ124" s="463">
        <f t="shared" si="166"/>
        <v>1.8214092804031513E-2</v>
      </c>
      <c r="CA124" s="549">
        <f t="shared" si="237"/>
        <v>9.2340425531914939E-3</v>
      </c>
      <c r="CB124" s="147">
        <f t="shared" si="238"/>
        <v>66.091780562840796</v>
      </c>
      <c r="CC124" s="153">
        <f t="shared" si="168"/>
        <v>7.6478028455465891E-2</v>
      </c>
      <c r="CD124" s="5">
        <f t="shared" si="239"/>
        <v>0.43400000000000005</v>
      </c>
      <c r="CE124" s="153">
        <f t="shared" si="240"/>
        <v>0.85018350606222448</v>
      </c>
      <c r="CF124" s="5">
        <f t="shared" si="241"/>
        <v>85.018350606222441</v>
      </c>
      <c r="CG124">
        <f t="shared" si="242"/>
        <v>14.000000000000002</v>
      </c>
      <c r="CI124" s="59">
        <f t="shared" si="243"/>
        <v>-50</v>
      </c>
      <c r="CJ124">
        <f t="shared" si="244"/>
        <v>-50</v>
      </c>
    </row>
    <row r="125" spans="5:88" x14ac:dyDescent="0.25">
      <c r="E125" s="150">
        <v>15</v>
      </c>
      <c r="F125" s="191">
        <f t="shared" si="245"/>
        <v>1.4999999999999999E-2</v>
      </c>
      <c r="G125" s="191">
        <f t="shared" si="183"/>
        <v>1.4999999999999999E-2</v>
      </c>
      <c r="H125" s="191">
        <f t="shared" si="184"/>
        <v>0.22499999999999998</v>
      </c>
      <c r="I125" s="191">
        <f t="shared" si="185"/>
        <v>0.24</v>
      </c>
      <c r="J125" s="472">
        <f t="shared" si="186"/>
        <v>13</v>
      </c>
      <c r="K125" s="386">
        <f t="shared" si="187"/>
        <v>15.32</v>
      </c>
      <c r="L125" s="386">
        <f t="shared" si="188"/>
        <v>28.32</v>
      </c>
      <c r="M125" s="386"/>
      <c r="N125" s="191">
        <f t="shared" si="189"/>
        <v>0.54096045197740117</v>
      </c>
      <c r="O125" s="152">
        <f t="shared" si="190"/>
        <v>1.1484503143794424</v>
      </c>
      <c r="P125" s="152">
        <f t="shared" si="191"/>
        <v>2.5316949152542376</v>
      </c>
      <c r="Q125" s="191">
        <f t="shared" si="192"/>
        <v>7.6563354291962829E-2</v>
      </c>
      <c r="R125" s="191">
        <f t="shared" si="193"/>
        <v>7.1778144648715153E-2</v>
      </c>
      <c r="S125" s="191">
        <f t="shared" si="194"/>
        <v>15</v>
      </c>
      <c r="T125" s="191">
        <f t="shared" si="195"/>
        <v>0.14693713597107849</v>
      </c>
      <c r="U125" s="191">
        <f t="shared" si="196"/>
        <v>0.53123426081851455</v>
      </c>
      <c r="V125" s="191">
        <f t="shared" si="197"/>
        <v>0.45078625265278649</v>
      </c>
      <c r="W125" s="175">
        <f t="shared" si="198"/>
        <v>350</v>
      </c>
      <c r="X125" s="386">
        <f t="shared" si="199"/>
        <v>350</v>
      </c>
      <c r="Z125" s="191">
        <f t="shared" si="200"/>
        <v>0.42750674016451157</v>
      </c>
      <c r="AA125" s="153">
        <f t="shared" si="201"/>
        <v>1.3115415657788541</v>
      </c>
      <c r="AB125" s="153">
        <f t="shared" si="202"/>
        <v>4.7478024382677106E-2</v>
      </c>
      <c r="AC125" s="153"/>
      <c r="AD125" s="153">
        <f t="shared" si="203"/>
        <v>0.46018276762402083</v>
      </c>
      <c r="AE125" s="317">
        <f t="shared" si="204"/>
        <v>434.6099290780142</v>
      </c>
      <c r="AF125" s="463">
        <f t="shared" si="205"/>
        <v>1.2079797650130546E-2</v>
      </c>
      <c r="AH125" s="153">
        <f t="shared" si="206"/>
        <v>0.2377708022598545</v>
      </c>
      <c r="AI125" s="153">
        <f t="shared" si="207"/>
        <v>0.2377708022598545</v>
      </c>
      <c r="AJ125" s="153">
        <f t="shared" si="208"/>
        <v>1.2650154090813737</v>
      </c>
      <c r="AL125" s="317">
        <f t="shared" si="209"/>
        <v>15</v>
      </c>
      <c r="AM125" s="147">
        <f t="shared" si="210"/>
        <v>350</v>
      </c>
      <c r="AO125" s="147">
        <f t="shared" si="211"/>
        <v>15</v>
      </c>
      <c r="AP125" s="147">
        <f t="shared" si="212"/>
        <v>350</v>
      </c>
      <c r="AR125" s="5">
        <f t="shared" si="160"/>
        <v>2.8571428571428572</v>
      </c>
      <c r="AS125" s="5">
        <f t="shared" si="246"/>
        <v>0.85963290047793539</v>
      </c>
      <c r="AT125" s="5">
        <f t="shared" si="247"/>
        <v>1.9975099566649219</v>
      </c>
      <c r="AU125" s="153">
        <f t="shared" si="248"/>
        <v>0.30087151516727739</v>
      </c>
      <c r="AW125" s="5">
        <f t="shared" si="216"/>
        <v>8.5963290047793545E-2</v>
      </c>
      <c r="AX125" s="5"/>
      <c r="AY125" s="5">
        <f t="shared" si="217"/>
        <v>8.0590584419806433E-2</v>
      </c>
      <c r="AZ125" s="5"/>
      <c r="BA125" s="5">
        <f t="shared" si="218"/>
        <v>5.1218204017049275E-2</v>
      </c>
      <c r="BB125" s="5"/>
      <c r="BC125" s="5"/>
      <c r="BD125" s="153">
        <f t="shared" si="219"/>
        <v>7.5298865401889778E-2</v>
      </c>
      <c r="BE125" s="153">
        <f t="shared" si="220"/>
        <v>0.11478268890220204</v>
      </c>
      <c r="BF125" s="153">
        <f t="shared" si="221"/>
        <v>0.11493273163279316</v>
      </c>
      <c r="BG125" s="153"/>
      <c r="BH125" s="463">
        <f t="shared" si="222"/>
        <v>1.9844716957841697E-3</v>
      </c>
      <c r="BI125" s="463">
        <f t="shared" si="223"/>
        <v>1.178392095999839E-2</v>
      </c>
      <c r="BJ125" s="463">
        <f t="shared" si="224"/>
        <v>4.3749999999999995E-3</v>
      </c>
      <c r="BK125" s="463">
        <f t="shared" si="225"/>
        <v>1.4035392000000001E-2</v>
      </c>
      <c r="BL125">
        <f t="shared" si="226"/>
        <v>3.7699999999999999E-3</v>
      </c>
      <c r="BM125">
        <f t="shared" si="227"/>
        <v>6.9999999999999999E-6</v>
      </c>
      <c r="BN125">
        <f t="shared" si="228"/>
        <v>3.6236955953591492E-2</v>
      </c>
      <c r="BO125" s="147">
        <f t="shared" si="229"/>
        <v>35.948784655782561</v>
      </c>
      <c r="BP125" s="153">
        <f t="shared" si="230"/>
        <v>6.0000000000000001E-3</v>
      </c>
      <c r="BQ125" s="153">
        <f t="shared" si="231"/>
        <v>6.0000000000000001E-3</v>
      </c>
      <c r="BR125" s="463"/>
      <c r="BT125" s="147">
        <f t="shared" si="232"/>
        <v>12</v>
      </c>
      <c r="BU125" s="463">
        <f t="shared" si="233"/>
        <v>5.6699191308119132E-3</v>
      </c>
      <c r="BV125" s="463">
        <f t="shared" si="234"/>
        <v>1.3175065671619695E-2</v>
      </c>
      <c r="BW125" s="463">
        <f t="shared" si="235"/>
        <v>6.604766400287827E-4</v>
      </c>
      <c r="BX125" s="463">
        <f t="shared" si="236"/>
        <v>0</v>
      </c>
      <c r="BY125" s="463">
        <f t="shared" si="180"/>
        <v>2.1880259580323243E-2</v>
      </c>
      <c r="BZ125" s="463">
        <f t="shared" si="166"/>
        <v>1.9505461442460393E-2</v>
      </c>
      <c r="CA125" s="549">
        <f t="shared" si="237"/>
        <v>9.8936170212765955E-3</v>
      </c>
      <c r="CB125" s="147">
        <f t="shared" si="238"/>
        <v>70.784799486520626</v>
      </c>
      <c r="CC125" s="153">
        <f t="shared" si="168"/>
        <v>8.0010832555191327E-2</v>
      </c>
      <c r="CD125" s="5">
        <f t="shared" si="239"/>
        <v>0.46499999999999997</v>
      </c>
      <c r="CE125" s="153">
        <f t="shared" si="240"/>
        <v>0.85319405087771549</v>
      </c>
      <c r="CF125" s="5">
        <f t="shared" si="241"/>
        <v>85.319405087771543</v>
      </c>
      <c r="CG125">
        <f t="shared" si="242"/>
        <v>15</v>
      </c>
      <c r="CI125" s="59">
        <f t="shared" si="243"/>
        <v>-50</v>
      </c>
      <c r="CJ125">
        <f t="shared" si="244"/>
        <v>-50</v>
      </c>
    </row>
    <row r="126" spans="5:88" x14ac:dyDescent="0.25">
      <c r="E126" s="150">
        <v>16</v>
      </c>
      <c r="F126" s="191">
        <f t="shared" si="245"/>
        <v>1.6E-2</v>
      </c>
      <c r="G126" s="191">
        <f t="shared" si="183"/>
        <v>1.6E-2</v>
      </c>
      <c r="H126" s="191">
        <f t="shared" si="184"/>
        <v>0.24</v>
      </c>
      <c r="I126" s="191">
        <f t="shared" si="185"/>
        <v>0.25600000000000001</v>
      </c>
      <c r="J126" s="472">
        <f t="shared" si="186"/>
        <v>13</v>
      </c>
      <c r="K126" s="386">
        <f t="shared" si="187"/>
        <v>15.32</v>
      </c>
      <c r="L126" s="386">
        <f t="shared" si="188"/>
        <v>28.32</v>
      </c>
      <c r="M126" s="386"/>
      <c r="N126" s="191">
        <f t="shared" si="189"/>
        <v>0.54096045197740117</v>
      </c>
      <c r="O126" s="152">
        <f t="shared" si="190"/>
        <v>1.1484503143794424</v>
      </c>
      <c r="P126" s="152">
        <f t="shared" si="191"/>
        <v>2.5316949152542376</v>
      </c>
      <c r="Q126" s="191">
        <f t="shared" si="192"/>
        <v>7.6563354291962829E-2</v>
      </c>
      <c r="R126" s="191">
        <f t="shared" si="193"/>
        <v>7.1778144648715153E-2</v>
      </c>
      <c r="S126" s="191">
        <f t="shared" si="194"/>
        <v>15</v>
      </c>
      <c r="T126" s="191">
        <f t="shared" si="195"/>
        <v>0.15673294503581706</v>
      </c>
      <c r="U126" s="191">
        <f t="shared" si="196"/>
        <v>0.56664987820641544</v>
      </c>
      <c r="V126" s="191">
        <f t="shared" si="197"/>
        <v>0.48083866949630549</v>
      </c>
      <c r="W126" s="175">
        <f t="shared" si="198"/>
        <v>350</v>
      </c>
      <c r="X126" s="386">
        <f t="shared" si="199"/>
        <v>350</v>
      </c>
      <c r="Z126" s="191">
        <f t="shared" si="200"/>
        <v>0.42750674016451157</v>
      </c>
      <c r="AA126" s="153">
        <f t="shared" si="201"/>
        <v>1.3115415657788541</v>
      </c>
      <c r="AB126" s="153">
        <f t="shared" si="202"/>
        <v>4.7478024382677106E-2</v>
      </c>
      <c r="AC126" s="153"/>
      <c r="AD126" s="153">
        <f t="shared" si="203"/>
        <v>0.46018276762402083</v>
      </c>
      <c r="AE126" s="317">
        <f t="shared" si="204"/>
        <v>463.58392434988195</v>
      </c>
      <c r="AF126" s="463">
        <f t="shared" si="205"/>
        <v>1.2079797650130546E-2</v>
      </c>
      <c r="AH126" s="153">
        <f t="shared" si="206"/>
        <v>0.2455686286311449</v>
      </c>
      <c r="AI126" s="153">
        <f t="shared" si="207"/>
        <v>0.2455686286311449</v>
      </c>
      <c r="AJ126" s="153">
        <f t="shared" si="208"/>
        <v>1.2707915767638109</v>
      </c>
      <c r="AL126" s="317">
        <f t="shared" si="209"/>
        <v>16</v>
      </c>
      <c r="AM126" s="147">
        <f t="shared" si="210"/>
        <v>350</v>
      </c>
      <c r="AO126" s="147">
        <f t="shared" si="211"/>
        <v>16</v>
      </c>
      <c r="AP126" s="147">
        <f t="shared" si="212"/>
        <v>350</v>
      </c>
      <c r="AR126" s="5">
        <f t="shared" si="160"/>
        <v>2.8571428571428572</v>
      </c>
      <c r="AS126" s="5">
        <f t="shared" si="246"/>
        <v>0.88782504197413925</v>
      </c>
      <c r="AT126" s="5">
        <f t="shared" si="247"/>
        <v>1.9693178151687181</v>
      </c>
      <c r="AU126" s="153">
        <f t="shared" si="248"/>
        <v>0.31073876469094874</v>
      </c>
      <c r="AW126" s="5">
        <f t="shared" si="216"/>
        <v>9.4701337810574854E-2</v>
      </c>
      <c r="AX126" s="5"/>
      <c r="AY126" s="5">
        <f t="shared" si="217"/>
        <v>8.8782504197413931E-2</v>
      </c>
      <c r="AZ126" s="5"/>
      <c r="BA126" s="5">
        <f t="shared" si="218"/>
        <v>5.3861683833674338E-2</v>
      </c>
      <c r="BB126" s="5"/>
      <c r="BC126" s="5"/>
      <c r="BD126" s="153">
        <f t="shared" si="219"/>
        <v>7.9033274330093328E-2</v>
      </c>
      <c r="BE126" s="153">
        <f t="shared" si="220"/>
        <v>0.11770751323198503</v>
      </c>
      <c r="BF126" s="153">
        <f t="shared" si="221"/>
        <v>0.11786137926235363</v>
      </c>
      <c r="BG126" s="153"/>
      <c r="BH126" s="463">
        <f t="shared" si="222"/>
        <v>2.1861904579675261E-3</v>
      </c>
      <c r="BI126" s="463">
        <f t="shared" si="223"/>
        <v>1.2170381234959541E-2</v>
      </c>
      <c r="BJ126" s="463">
        <f t="shared" si="224"/>
        <v>4.3749999999999995E-3</v>
      </c>
      <c r="BK126" s="463">
        <f t="shared" si="225"/>
        <v>1.4035392000000001E-2</v>
      </c>
      <c r="BL126">
        <f t="shared" si="226"/>
        <v>3.7699999999999999E-3</v>
      </c>
      <c r="BM126">
        <f t="shared" si="227"/>
        <v>6.9999999999999999E-6</v>
      </c>
      <c r="BN126">
        <f t="shared" si="228"/>
        <v>3.6853964530194815E-2</v>
      </c>
      <c r="BO126" s="147">
        <f t="shared" si="229"/>
        <v>36.536963692927067</v>
      </c>
      <c r="BP126" s="153">
        <f t="shared" si="230"/>
        <v>6.4000000000000003E-3</v>
      </c>
      <c r="BQ126" s="153">
        <f t="shared" si="231"/>
        <v>6.4000000000000003E-3</v>
      </c>
      <c r="BR126" s="463"/>
      <c r="BT126" s="147">
        <f t="shared" si="232"/>
        <v>12.8</v>
      </c>
      <c r="BU126" s="463">
        <f t="shared" si="233"/>
        <v>6.2462584513357892E-3</v>
      </c>
      <c r="BV126" s="463">
        <f t="shared" si="234"/>
        <v>1.3855058671257931E-2</v>
      </c>
      <c r="BW126" s="463">
        <f t="shared" si="235"/>
        <v>6.9456523608121812E-4</v>
      </c>
      <c r="BX126" s="463">
        <f t="shared" si="236"/>
        <v>0</v>
      </c>
      <c r="BY126" s="463">
        <f t="shared" si="180"/>
        <v>2.3330202012632643E-2</v>
      </c>
      <c r="BZ126" s="463">
        <f t="shared" si="166"/>
        <v>2.0795882358674939E-2</v>
      </c>
      <c r="CA126" s="549">
        <f t="shared" si="237"/>
        <v>1.0553191489361704E-2</v>
      </c>
      <c r="CB126" s="147">
        <f t="shared" si="238"/>
        <v>75.475158219344223</v>
      </c>
      <c r="CC126" s="153">
        <f t="shared" si="168"/>
        <v>8.3537358032189174E-2</v>
      </c>
      <c r="CD126" s="5">
        <f t="shared" si="239"/>
        <v>0.496</v>
      </c>
      <c r="CE126" s="153">
        <f t="shared" si="240"/>
        <v>0.85585509393934656</v>
      </c>
      <c r="CF126" s="5">
        <f t="shared" si="241"/>
        <v>85.585509393934657</v>
      </c>
      <c r="CG126">
        <f t="shared" si="242"/>
        <v>16</v>
      </c>
      <c r="CI126" s="59">
        <f t="shared" si="243"/>
        <v>-50</v>
      </c>
      <c r="CJ126">
        <f t="shared" si="244"/>
        <v>-50</v>
      </c>
    </row>
    <row r="127" spans="5:88" x14ac:dyDescent="0.25">
      <c r="E127" s="150">
        <v>17</v>
      </c>
      <c r="F127" s="191">
        <f t="shared" si="245"/>
        <v>1.7000000000000001E-2</v>
      </c>
      <c r="G127" s="191">
        <f t="shared" si="183"/>
        <v>1.7000000000000001E-2</v>
      </c>
      <c r="H127" s="191">
        <f t="shared" si="184"/>
        <v>0.255</v>
      </c>
      <c r="I127" s="191">
        <f t="shared" si="185"/>
        <v>0.27200000000000002</v>
      </c>
      <c r="J127" s="472">
        <f t="shared" si="186"/>
        <v>13</v>
      </c>
      <c r="K127" s="386">
        <f t="shared" si="187"/>
        <v>15.32</v>
      </c>
      <c r="L127" s="386">
        <f t="shared" si="188"/>
        <v>28.32</v>
      </c>
      <c r="M127" s="386"/>
      <c r="N127" s="191">
        <f t="shared" si="189"/>
        <v>0.54096045197740117</v>
      </c>
      <c r="O127" s="152">
        <f t="shared" si="190"/>
        <v>1.1484503143794424</v>
      </c>
      <c r="P127" s="152">
        <f t="shared" si="191"/>
        <v>2.5316949152542376</v>
      </c>
      <c r="Q127" s="191">
        <f t="shared" si="192"/>
        <v>7.6563354291962829E-2</v>
      </c>
      <c r="R127" s="191">
        <f t="shared" si="193"/>
        <v>7.1778144648715153E-2</v>
      </c>
      <c r="S127" s="191">
        <f t="shared" si="194"/>
        <v>15</v>
      </c>
      <c r="T127" s="191">
        <f t="shared" si="195"/>
        <v>0.16652875410055565</v>
      </c>
      <c r="U127" s="191">
        <f t="shared" si="196"/>
        <v>0.60206549559431666</v>
      </c>
      <c r="V127" s="191">
        <f t="shared" si="197"/>
        <v>0.51089108633982472</v>
      </c>
      <c r="W127" s="175">
        <f t="shared" si="198"/>
        <v>350</v>
      </c>
      <c r="X127" s="386">
        <f t="shared" si="199"/>
        <v>350</v>
      </c>
      <c r="Z127" s="191">
        <f t="shared" si="200"/>
        <v>0.42750674016451157</v>
      </c>
      <c r="AA127" s="153">
        <f t="shared" si="201"/>
        <v>1.3115415657788541</v>
      </c>
      <c r="AB127" s="153">
        <f t="shared" si="202"/>
        <v>4.7478024382677106E-2</v>
      </c>
      <c r="AC127" s="153"/>
      <c r="AD127" s="153">
        <f t="shared" si="203"/>
        <v>0.46018276762402083</v>
      </c>
      <c r="AE127" s="317">
        <f t="shared" si="204"/>
        <v>492.55791962174953</v>
      </c>
      <c r="AF127" s="463">
        <f t="shared" si="205"/>
        <v>1.2079797650130546E-2</v>
      </c>
      <c r="AH127" s="153">
        <f t="shared" si="206"/>
        <v>0.25312634854607191</v>
      </c>
      <c r="AI127" s="153">
        <f t="shared" si="207"/>
        <v>0.25312634854607191</v>
      </c>
      <c r="AJ127" s="153">
        <f t="shared" si="208"/>
        <v>1.2763898878119051</v>
      </c>
      <c r="AL127" s="317">
        <f t="shared" si="209"/>
        <v>17</v>
      </c>
      <c r="AM127" s="147">
        <f t="shared" si="210"/>
        <v>350</v>
      </c>
      <c r="AO127" s="147">
        <f t="shared" si="211"/>
        <v>17</v>
      </c>
      <c r="AP127" s="147">
        <f t="shared" si="212"/>
        <v>350</v>
      </c>
      <c r="AR127" s="5">
        <f t="shared" si="160"/>
        <v>2.8571428571428572</v>
      </c>
      <c r="AS127" s="5">
        <f t="shared" si="246"/>
        <v>0.91514910628195223</v>
      </c>
      <c r="AT127" s="5">
        <f t="shared" si="247"/>
        <v>1.9419937508609051</v>
      </c>
      <c r="AU127" s="153">
        <f t="shared" si="248"/>
        <v>0.32030218719868325</v>
      </c>
      <c r="AW127" s="5">
        <f t="shared" si="216"/>
        <v>0.10371689871195459</v>
      </c>
      <c r="AX127" s="5"/>
      <c r="AY127" s="5">
        <f t="shared" si="217"/>
        <v>9.7234592542457421E-2</v>
      </c>
      <c r="AZ127" s="5"/>
      <c r="BA127" s="5">
        <f t="shared" si="218"/>
        <v>5.6434006435274159E-2</v>
      </c>
      <c r="BB127" s="5"/>
      <c r="BC127" s="5"/>
      <c r="BD127" s="153">
        <f t="shared" si="219"/>
        <v>8.2709744467852342E-2</v>
      </c>
      <c r="BE127" s="153">
        <f t="shared" si="220"/>
        <v>0.12048546639665049</v>
      </c>
      <c r="BF127" s="153">
        <f t="shared" si="221"/>
        <v>0.12064296373834547</v>
      </c>
      <c r="BG127" s="153"/>
      <c r="BH127" s="463">
        <f t="shared" si="222"/>
        <v>2.3943156404781008E-3</v>
      </c>
      <c r="BI127" s="463">
        <f t="shared" si="223"/>
        <v>1.2544941833943325E-2</v>
      </c>
      <c r="BJ127" s="463">
        <f t="shared" si="224"/>
        <v>4.3749999999999995E-3</v>
      </c>
      <c r="BK127" s="463">
        <f t="shared" si="225"/>
        <v>1.4035392000000001E-2</v>
      </c>
      <c r="BL127">
        <f t="shared" si="226"/>
        <v>3.7699999999999999E-3</v>
      </c>
      <c r="BM127">
        <f t="shared" si="227"/>
        <v>6.9999999999999999E-6</v>
      </c>
      <c r="BN127">
        <f t="shared" si="228"/>
        <v>3.7466432928928414E-2</v>
      </c>
      <c r="BO127" s="147">
        <f t="shared" si="229"/>
        <v>37.119649474421429</v>
      </c>
      <c r="BP127" s="153">
        <f t="shared" si="230"/>
        <v>6.8000000000000005E-3</v>
      </c>
      <c r="BQ127" s="153">
        <f t="shared" si="231"/>
        <v>6.8000000000000005E-3</v>
      </c>
      <c r="BR127" s="463"/>
      <c r="BT127" s="147">
        <f t="shared" si="232"/>
        <v>13.600000000000001</v>
      </c>
      <c r="BU127" s="463">
        <f t="shared" si="233"/>
        <v>6.8409018299374312E-3</v>
      </c>
      <c r="BV127" s="463">
        <f t="shared" si="234"/>
        <v>1.4516747612818395E-2</v>
      </c>
      <c r="BW127" s="463">
        <f t="shared" si="235"/>
        <v>7.2773623497858703E-4</v>
      </c>
      <c r="BX127" s="463">
        <f t="shared" si="236"/>
        <v>0</v>
      </c>
      <c r="BY127" s="463">
        <f t="shared" si="180"/>
        <v>2.4779412990483564E-2</v>
      </c>
      <c r="BZ127" s="463">
        <f t="shared" si="166"/>
        <v>2.2085385677734413E-2</v>
      </c>
      <c r="CA127" s="549">
        <f t="shared" si="237"/>
        <v>1.1212765957446814E-2</v>
      </c>
      <c r="CB127" s="147">
        <f t="shared" si="238"/>
        <v>80.162950303399199</v>
      </c>
      <c r="CC127" s="153">
        <f t="shared" si="168"/>
        <v>8.7058611876858802E-2</v>
      </c>
      <c r="CD127" s="5">
        <f t="shared" si="239"/>
        <v>0.52700000000000002</v>
      </c>
      <c r="CE127" s="153">
        <f t="shared" si="240"/>
        <v>0.85822426362401172</v>
      </c>
      <c r="CF127" s="5">
        <f t="shared" si="241"/>
        <v>85.822426362401174</v>
      </c>
      <c r="CG127">
        <f t="shared" si="242"/>
        <v>17</v>
      </c>
      <c r="CI127" s="59">
        <f t="shared" si="243"/>
        <v>-50</v>
      </c>
      <c r="CJ127">
        <f t="shared" si="244"/>
        <v>-50</v>
      </c>
    </row>
    <row r="128" spans="5:88" x14ac:dyDescent="0.25">
      <c r="E128" s="150">
        <v>18</v>
      </c>
      <c r="F128" s="191">
        <f t="shared" si="245"/>
        <v>1.7999999999999999E-2</v>
      </c>
      <c r="G128" s="191">
        <f t="shared" si="183"/>
        <v>1.7999999999999999E-2</v>
      </c>
      <c r="H128" s="191">
        <f t="shared" si="184"/>
        <v>0.26999999999999996</v>
      </c>
      <c r="I128" s="191">
        <f t="shared" si="185"/>
        <v>0.28799999999999998</v>
      </c>
      <c r="J128" s="472">
        <f t="shared" si="186"/>
        <v>13</v>
      </c>
      <c r="K128" s="386">
        <f t="shared" si="187"/>
        <v>15.32</v>
      </c>
      <c r="L128" s="386">
        <f t="shared" si="188"/>
        <v>28.32</v>
      </c>
      <c r="M128" s="386"/>
      <c r="N128" s="191">
        <f t="shared" si="189"/>
        <v>0.54096045197740117</v>
      </c>
      <c r="O128" s="152">
        <f t="shared" si="190"/>
        <v>1.1484503143794424</v>
      </c>
      <c r="P128" s="152">
        <f t="shared" si="191"/>
        <v>2.5316949152542376</v>
      </c>
      <c r="Q128" s="191">
        <f t="shared" si="192"/>
        <v>7.6563354291962829E-2</v>
      </c>
      <c r="R128" s="191">
        <f t="shared" si="193"/>
        <v>7.1778144648715153E-2</v>
      </c>
      <c r="S128" s="191">
        <f t="shared" si="194"/>
        <v>15</v>
      </c>
      <c r="T128" s="191">
        <f t="shared" si="195"/>
        <v>0.17632456316529418</v>
      </c>
      <c r="U128" s="191">
        <f t="shared" si="196"/>
        <v>0.63748111298221743</v>
      </c>
      <c r="V128" s="191">
        <f t="shared" si="197"/>
        <v>0.54094350318334372</v>
      </c>
      <c r="W128" s="175">
        <f t="shared" si="198"/>
        <v>350</v>
      </c>
      <c r="X128" s="386">
        <f t="shared" si="199"/>
        <v>350</v>
      </c>
      <c r="Z128" s="191">
        <f t="shared" si="200"/>
        <v>0.42750674016451157</v>
      </c>
      <c r="AA128" s="153">
        <f t="shared" si="201"/>
        <v>1.3115415657788541</v>
      </c>
      <c r="AB128" s="153">
        <f t="shared" si="202"/>
        <v>4.7478024382677106E-2</v>
      </c>
      <c r="AC128" s="153"/>
      <c r="AD128" s="153">
        <f t="shared" si="203"/>
        <v>0.46018276762402083</v>
      </c>
      <c r="AE128" s="317">
        <f t="shared" si="204"/>
        <v>521.53191489361711</v>
      </c>
      <c r="AF128" s="463">
        <f t="shared" si="205"/>
        <v>1.2079797650130546E-2</v>
      </c>
      <c r="AH128" s="153">
        <f t="shared" si="206"/>
        <v>0.26046486382764528</v>
      </c>
      <c r="AI128" s="153">
        <f t="shared" si="207"/>
        <v>0.26046486382764528</v>
      </c>
      <c r="AJ128" s="153">
        <f t="shared" si="208"/>
        <v>1.281825825057515</v>
      </c>
      <c r="AL128" s="317">
        <f t="shared" si="209"/>
        <v>18</v>
      </c>
      <c r="AM128" s="147">
        <f t="shared" si="210"/>
        <v>350</v>
      </c>
      <c r="AO128" s="147">
        <f t="shared" si="211"/>
        <v>18</v>
      </c>
      <c r="AP128" s="147">
        <f t="shared" si="212"/>
        <v>350</v>
      </c>
      <c r="AR128" s="5">
        <f t="shared" si="160"/>
        <v>2.8571428571428572</v>
      </c>
      <c r="AS128" s="5">
        <f t="shared" si="246"/>
        <v>0.94168066153071761</v>
      </c>
      <c r="AT128" s="5">
        <f t="shared" si="247"/>
        <v>1.9154621956121396</v>
      </c>
      <c r="AU128" s="153">
        <f t="shared" si="248"/>
        <v>0.32958823153575117</v>
      </c>
      <c r="AW128" s="5">
        <f t="shared" si="216"/>
        <v>0.11300167938368609</v>
      </c>
      <c r="AX128" s="5"/>
      <c r="AY128" s="5">
        <f t="shared" si="217"/>
        <v>0.10593907442220572</v>
      </c>
      <c r="AZ128" s="5"/>
      <c r="BA128" s="5">
        <f t="shared" si="218"/>
        <v>5.893729832652736E-2</v>
      </c>
      <c r="BB128" s="5"/>
      <c r="BC128" s="5"/>
      <c r="BD128" s="153">
        <f t="shared" si="219"/>
        <v>8.6332509851282851E-2</v>
      </c>
      <c r="BE128" s="153">
        <f t="shared" si="220"/>
        <v>0.12312871113471496</v>
      </c>
      <c r="BF128" s="153">
        <f t="shared" si="221"/>
        <v>0.12328966369828975</v>
      </c>
      <c r="BG128" s="153"/>
      <c r="BH128" s="463">
        <f t="shared" si="222"/>
        <v>2.6086557900276476E-3</v>
      </c>
      <c r="BI128" s="463">
        <f t="shared" si="223"/>
        <v>1.2908638651298099E-2</v>
      </c>
      <c r="BJ128" s="463">
        <f t="shared" si="224"/>
        <v>4.3749999999999995E-3</v>
      </c>
      <c r="BK128" s="463">
        <f t="shared" si="225"/>
        <v>1.4035392000000001E-2</v>
      </c>
      <c r="BL128">
        <f t="shared" si="226"/>
        <v>3.7699999999999999E-3</v>
      </c>
      <c r="BM128">
        <f t="shared" si="227"/>
        <v>6.9999999999999999E-6</v>
      </c>
      <c r="BN128">
        <f t="shared" si="228"/>
        <v>3.8075180442844449E-2</v>
      </c>
      <c r="BO128" s="147">
        <f t="shared" si="229"/>
        <v>37.69768644132575</v>
      </c>
      <c r="BP128" s="153">
        <f t="shared" si="230"/>
        <v>7.1999999999999998E-3</v>
      </c>
      <c r="BQ128" s="153">
        <f t="shared" si="231"/>
        <v>7.1999999999999998E-3</v>
      </c>
      <c r="BR128" s="463"/>
      <c r="BT128" s="147">
        <f t="shared" si="232"/>
        <v>14.4</v>
      </c>
      <c r="BU128" s="463">
        <f t="shared" si="233"/>
        <v>7.4533022572218508E-3</v>
      </c>
      <c r="BV128" s="463">
        <f t="shared" si="234"/>
        <v>1.516067950569608E-2</v>
      </c>
      <c r="BW128" s="463">
        <f t="shared" si="235"/>
        <v>7.6001705874186943E-4</v>
      </c>
      <c r="BX128" s="463">
        <f t="shared" si="236"/>
        <v>0</v>
      </c>
      <c r="BY128" s="463">
        <f t="shared" si="180"/>
        <v>2.6227922795179711E-2</v>
      </c>
      <c r="BZ128" s="463">
        <f t="shared" si="166"/>
        <v>2.3373998821659803E-2</v>
      </c>
      <c r="CA128" s="549">
        <f t="shared" si="237"/>
        <v>1.1872340425531919E-2</v>
      </c>
      <c r="CB128" s="147">
        <f t="shared" si="238"/>
        <v>84.848260864031246</v>
      </c>
      <c r="CC128" s="153">
        <f t="shared" si="168"/>
        <v>9.0575443663556077E-2</v>
      </c>
      <c r="CD128" s="5">
        <f t="shared" si="239"/>
        <v>0.55799999999999994</v>
      </c>
      <c r="CE128" s="153">
        <f t="shared" si="240"/>
        <v>0.86034709678194132</v>
      </c>
      <c r="CF128" s="5">
        <f t="shared" si="241"/>
        <v>86.034709678194133</v>
      </c>
      <c r="CG128">
        <f t="shared" si="242"/>
        <v>17.999999999999996</v>
      </c>
      <c r="CI128" s="59">
        <f t="shared" si="243"/>
        <v>-50</v>
      </c>
      <c r="CJ128">
        <f t="shared" si="244"/>
        <v>-50</v>
      </c>
    </row>
    <row r="129" spans="5:88" x14ac:dyDescent="0.25">
      <c r="E129" s="150">
        <v>19</v>
      </c>
      <c r="F129" s="191">
        <f t="shared" si="245"/>
        <v>1.9000000000000003E-2</v>
      </c>
      <c r="G129" s="191">
        <f t="shared" si="183"/>
        <v>1.9000000000000003E-2</v>
      </c>
      <c r="H129" s="191">
        <f t="shared" si="184"/>
        <v>0.28500000000000003</v>
      </c>
      <c r="I129" s="191">
        <f t="shared" si="185"/>
        <v>0.30400000000000005</v>
      </c>
      <c r="J129" s="472">
        <f t="shared" si="186"/>
        <v>13</v>
      </c>
      <c r="K129" s="386">
        <f t="shared" si="187"/>
        <v>15.32</v>
      </c>
      <c r="L129" s="386">
        <f t="shared" si="188"/>
        <v>28.32</v>
      </c>
      <c r="M129" s="386"/>
      <c r="N129" s="191">
        <f t="shared" si="189"/>
        <v>0.54096045197740117</v>
      </c>
      <c r="O129" s="152">
        <f t="shared" si="190"/>
        <v>1.1484503143794424</v>
      </c>
      <c r="P129" s="152">
        <f t="shared" si="191"/>
        <v>2.5316949152542376</v>
      </c>
      <c r="Q129" s="191">
        <f t="shared" si="192"/>
        <v>7.6563354291962829E-2</v>
      </c>
      <c r="R129" s="191">
        <f t="shared" si="193"/>
        <v>7.1778144648715153E-2</v>
      </c>
      <c r="S129" s="191">
        <f t="shared" si="194"/>
        <v>15</v>
      </c>
      <c r="T129" s="191">
        <f t="shared" si="195"/>
        <v>0.1861203722300328</v>
      </c>
      <c r="U129" s="191">
        <f t="shared" si="196"/>
        <v>0.67289673037011866</v>
      </c>
      <c r="V129" s="191">
        <f t="shared" si="197"/>
        <v>0.57099592002686306</v>
      </c>
      <c r="W129" s="175">
        <f t="shared" si="198"/>
        <v>350</v>
      </c>
      <c r="X129" s="386">
        <f t="shared" si="199"/>
        <v>350</v>
      </c>
      <c r="Z129" s="191">
        <f t="shared" si="200"/>
        <v>0.42750674016451157</v>
      </c>
      <c r="AA129" s="153">
        <f t="shared" si="201"/>
        <v>1.3115415657788541</v>
      </c>
      <c r="AB129" s="153">
        <f t="shared" si="202"/>
        <v>4.7478024382677106E-2</v>
      </c>
      <c r="AC129" s="153"/>
      <c r="AD129" s="153">
        <f t="shared" si="203"/>
        <v>0.46018276762402083</v>
      </c>
      <c r="AE129" s="317">
        <f t="shared" si="204"/>
        <v>550.50591016548492</v>
      </c>
      <c r="AF129" s="463">
        <f t="shared" si="205"/>
        <v>1.2079797650130546E-2</v>
      </c>
      <c r="AH129" s="153">
        <f t="shared" si="206"/>
        <v>0.26760220897675741</v>
      </c>
      <c r="AI129" s="153">
        <f t="shared" si="207"/>
        <v>0.26760220897675741</v>
      </c>
      <c r="AJ129" s="153">
        <f t="shared" si="208"/>
        <v>1.2871127473901907</v>
      </c>
      <c r="AL129" s="317">
        <f t="shared" si="209"/>
        <v>19.000000000000004</v>
      </c>
      <c r="AM129" s="147">
        <f t="shared" si="210"/>
        <v>350</v>
      </c>
      <c r="AO129" s="147">
        <f t="shared" si="211"/>
        <v>19.000000000000004</v>
      </c>
      <c r="AP129" s="147">
        <f t="shared" si="212"/>
        <v>350</v>
      </c>
      <c r="AR129" s="5">
        <f t="shared" si="160"/>
        <v>2.8571428571428572</v>
      </c>
      <c r="AS129" s="5">
        <f t="shared" si="246"/>
        <v>0.96748490937750764</v>
      </c>
      <c r="AT129" s="5">
        <f t="shared" si="247"/>
        <v>1.8896579477653495</v>
      </c>
      <c r="AU129" s="153">
        <f t="shared" si="248"/>
        <v>0.33861971828212767</v>
      </c>
      <c r="AW129" s="5">
        <f t="shared" si="216"/>
        <v>0.12254808852115098</v>
      </c>
      <c r="AX129" s="5"/>
      <c r="AY129" s="5">
        <f t="shared" si="217"/>
        <v>0.11488883298857906</v>
      </c>
      <c r="AZ129" s="5"/>
      <c r="BA129" s="5">
        <f t="shared" si="218"/>
        <v>6.1373505995797682E-2</v>
      </c>
      <c r="BB129" s="5"/>
      <c r="BC129" s="5"/>
      <c r="BD129" s="153">
        <f t="shared" si="219"/>
        <v>8.9905278099333366E-2</v>
      </c>
      <c r="BE129" s="153">
        <f t="shared" si="220"/>
        <v>0.1256477419333972</v>
      </c>
      <c r="BF129" s="153">
        <f t="shared" si="221"/>
        <v>0.1258119873476892</v>
      </c>
      <c r="BG129" s="153"/>
      <c r="BH129" s="463">
        <f t="shared" si="222"/>
        <v>2.8290356605414654E-3</v>
      </c>
      <c r="BI129" s="463">
        <f t="shared" si="223"/>
        <v>1.32623654768881E-2</v>
      </c>
      <c r="BJ129" s="463">
        <f t="shared" si="224"/>
        <v>4.3749999999999995E-3</v>
      </c>
      <c r="BK129" s="463">
        <f t="shared" si="225"/>
        <v>1.4035392000000001E-2</v>
      </c>
      <c r="BL129">
        <f t="shared" si="226"/>
        <v>3.7699999999999999E-3</v>
      </c>
      <c r="BM129">
        <f t="shared" si="227"/>
        <v>6.9999999999999999E-6</v>
      </c>
      <c r="BN129">
        <f t="shared" si="228"/>
        <v>3.8680902722615151E-2</v>
      </c>
      <c r="BO129" s="147">
        <f t="shared" si="229"/>
        <v>38.271793137429576</v>
      </c>
      <c r="BP129" s="153">
        <f t="shared" si="230"/>
        <v>7.6000000000000017E-3</v>
      </c>
      <c r="BQ129" s="153">
        <f t="shared" si="231"/>
        <v>7.6000000000000017E-3</v>
      </c>
      <c r="BR129" s="463"/>
      <c r="BT129" s="147">
        <f t="shared" si="232"/>
        <v>15.200000000000003</v>
      </c>
      <c r="BU129" s="463">
        <f t="shared" si="233"/>
        <v>8.0829590301184726E-3</v>
      </c>
      <c r="BV129" s="463">
        <f t="shared" si="234"/>
        <v>1.5787355052961582E-2</v>
      </c>
      <c r="BW129" s="463">
        <f t="shared" si="235"/>
        <v>7.9143280801875532E-4</v>
      </c>
      <c r="BX129" s="463">
        <f t="shared" si="236"/>
        <v>0</v>
      </c>
      <c r="BY129" s="463">
        <f t="shared" si="180"/>
        <v>2.7675759123352198E-2</v>
      </c>
      <c r="BZ129" s="463">
        <f t="shared" si="166"/>
        <v>2.4661746891098808E-2</v>
      </c>
      <c r="CA129" s="549">
        <f t="shared" si="237"/>
        <v>1.2531914893617026E-2</v>
      </c>
      <c r="CB129" s="147">
        <f t="shared" si="238"/>
        <v>89.531167799166838</v>
      </c>
      <c r="CC129" s="153">
        <f t="shared" si="168"/>
        <v>9.4088576739584373E-2</v>
      </c>
      <c r="CD129" s="5">
        <f t="shared" si="239"/>
        <v>0.58900000000000008</v>
      </c>
      <c r="CE129" s="153">
        <f t="shared" si="240"/>
        <v>0.86226006415057643</v>
      </c>
      <c r="CF129" s="5">
        <f t="shared" si="241"/>
        <v>86.22600641505764</v>
      </c>
      <c r="CG129">
        <f t="shared" si="242"/>
        <v>19.000000000000004</v>
      </c>
      <c r="CI129" s="59">
        <f t="shared" si="243"/>
        <v>-50</v>
      </c>
      <c r="CJ129">
        <f t="shared" si="244"/>
        <v>-50</v>
      </c>
    </row>
    <row r="130" spans="5:88" x14ac:dyDescent="0.25">
      <c r="E130" s="150">
        <v>20</v>
      </c>
      <c r="F130" s="191">
        <f t="shared" si="245"/>
        <v>2.0000000000000004E-2</v>
      </c>
      <c r="G130" s="191">
        <f t="shared" si="183"/>
        <v>2.0000000000000004E-2</v>
      </c>
      <c r="H130" s="191">
        <f t="shared" si="184"/>
        <v>0.30000000000000004</v>
      </c>
      <c r="I130" s="191">
        <f t="shared" si="185"/>
        <v>0.32000000000000006</v>
      </c>
      <c r="J130" s="472">
        <f t="shared" si="186"/>
        <v>13</v>
      </c>
      <c r="K130" s="386">
        <f t="shared" si="187"/>
        <v>15.32</v>
      </c>
      <c r="L130" s="386">
        <f t="shared" si="188"/>
        <v>28.32</v>
      </c>
      <c r="M130" s="386"/>
      <c r="N130" s="191">
        <f t="shared" si="189"/>
        <v>0.54096045197740117</v>
      </c>
      <c r="O130" s="152">
        <f t="shared" si="190"/>
        <v>1.1484503143794424</v>
      </c>
      <c r="P130" s="152">
        <f t="shared" si="191"/>
        <v>2.5316949152542376</v>
      </c>
      <c r="Q130" s="191">
        <f t="shared" si="192"/>
        <v>7.6563354291962829E-2</v>
      </c>
      <c r="R130" s="191">
        <f t="shared" si="193"/>
        <v>7.1778144648715153E-2</v>
      </c>
      <c r="S130" s="191">
        <f t="shared" si="194"/>
        <v>15</v>
      </c>
      <c r="T130" s="191">
        <f t="shared" si="195"/>
        <v>0.19591618129477137</v>
      </c>
      <c r="U130" s="191">
        <f t="shared" si="196"/>
        <v>0.70831234775801943</v>
      </c>
      <c r="V130" s="191">
        <f t="shared" si="197"/>
        <v>0.60104833687038206</v>
      </c>
      <c r="W130" s="175">
        <f t="shared" si="198"/>
        <v>350</v>
      </c>
      <c r="X130" s="386">
        <f t="shared" si="199"/>
        <v>350</v>
      </c>
      <c r="Z130" s="191">
        <f t="shared" si="200"/>
        <v>0.42750674016451157</v>
      </c>
      <c r="AA130" s="153">
        <f t="shared" si="201"/>
        <v>1.3115415657788541</v>
      </c>
      <c r="AB130" s="153">
        <f t="shared" si="202"/>
        <v>4.7478024382677106E-2</v>
      </c>
      <c r="AC130" s="153"/>
      <c r="AD130" s="153">
        <f t="shared" si="203"/>
        <v>0.46018276762402083</v>
      </c>
      <c r="AE130" s="317">
        <f t="shared" si="204"/>
        <v>579.4799054373525</v>
      </c>
      <c r="AF130" s="463">
        <f t="shared" si="205"/>
        <v>1.2079797650130546E-2</v>
      </c>
      <c r="AH130" s="153">
        <f t="shared" si="206"/>
        <v>0.27455407338032062</v>
      </c>
      <c r="AI130" s="153">
        <f t="shared" si="207"/>
        <v>0.27455407338032062</v>
      </c>
      <c r="AJ130" s="153">
        <f t="shared" si="208"/>
        <v>1.2922622765780152</v>
      </c>
      <c r="AL130" s="317">
        <f t="shared" si="209"/>
        <v>20.000000000000004</v>
      </c>
      <c r="AM130" s="147">
        <f t="shared" si="210"/>
        <v>350</v>
      </c>
      <c r="AO130" s="147">
        <f t="shared" si="211"/>
        <v>20.000000000000004</v>
      </c>
      <c r="AP130" s="147">
        <f t="shared" si="212"/>
        <v>350</v>
      </c>
      <c r="AR130" s="5">
        <f t="shared" si="160"/>
        <v>2.8571428571428572</v>
      </c>
      <c r="AS130" s="5">
        <f t="shared" si="246"/>
        <v>0.99261857299038991</v>
      </c>
      <c r="AT130" s="5">
        <f t="shared" si="247"/>
        <v>1.8645242841524672</v>
      </c>
      <c r="AU130" s="153">
        <f t="shared" si="248"/>
        <v>0.34741650054663648</v>
      </c>
      <c r="AW130" s="5">
        <f t="shared" si="216"/>
        <v>0.13234914306538537</v>
      </c>
      <c r="AX130" s="5"/>
      <c r="AY130" s="5">
        <f t="shared" si="217"/>
        <v>0.12407732162379877</v>
      </c>
      <c r="AZ130" s="5"/>
      <c r="BA130" s="5">
        <f t="shared" si="218"/>
        <v>6.3744419971024521E-2</v>
      </c>
      <c r="BB130" s="5"/>
      <c r="BC130" s="5"/>
      <c r="BD130" s="153">
        <f t="shared" si="219"/>
        <v>9.3431320037164839E-2</v>
      </c>
      <c r="BE130" s="153">
        <f t="shared" si="220"/>
        <v>0.12805168815503776</v>
      </c>
      <c r="BF130" s="153">
        <f t="shared" si="221"/>
        <v>0.12821907598269139</v>
      </c>
      <c r="BG130" s="153"/>
      <c r="BH130" s="463">
        <f t="shared" si="222"/>
        <v>3.0552940473604919E-3</v>
      </c>
      <c r="BI130" s="463">
        <f t="shared" si="223"/>
        <v>1.3606899876728688E-2</v>
      </c>
      <c r="BJ130" s="463">
        <f t="shared" si="224"/>
        <v>4.3749999999999995E-3</v>
      </c>
      <c r="BK130" s="463">
        <f t="shared" si="225"/>
        <v>1.4035392000000001E-2</v>
      </c>
      <c r="BL130">
        <f t="shared" si="226"/>
        <v>3.7699999999999999E-3</v>
      </c>
      <c r="BM130">
        <f t="shared" si="227"/>
        <v>6.9999999999999999E-6</v>
      </c>
      <c r="BN130">
        <f t="shared" si="228"/>
        <v>3.9284195190127144E-2</v>
      </c>
      <c r="BO130" s="147">
        <f t="shared" si="229"/>
        <v>38.842585924089185</v>
      </c>
      <c r="BP130" s="153">
        <f t="shared" si="230"/>
        <v>8.0000000000000019E-3</v>
      </c>
      <c r="BQ130" s="153">
        <f t="shared" si="231"/>
        <v>8.0000000000000019E-3</v>
      </c>
      <c r="BR130" s="463"/>
      <c r="BT130" s="147">
        <f t="shared" si="232"/>
        <v>16.000000000000004</v>
      </c>
      <c r="BU130" s="463">
        <f t="shared" si="233"/>
        <v>8.7294115638871204E-3</v>
      </c>
      <c r="BV130" s="463">
        <f t="shared" si="234"/>
        <v>1.6397234839355037E-2</v>
      </c>
      <c r="BW130" s="463">
        <f t="shared" si="235"/>
        <v>8.2200657229275931E-4</v>
      </c>
      <c r="BX130" s="463">
        <f t="shared" si="236"/>
        <v>0</v>
      </c>
      <c r="BY130" s="463">
        <f t="shared" si="180"/>
        <v>2.912294743312446E-2</v>
      </c>
      <c r="BZ130" s="463">
        <f t="shared" si="166"/>
        <v>2.5948652975534916E-2</v>
      </c>
      <c r="CA130" s="549">
        <f t="shared" si="237"/>
        <v>1.3191489361702136E-2</v>
      </c>
      <c r="CB130" s="147">
        <f t="shared" si="238"/>
        <v>94.21174274589643</v>
      </c>
      <c r="CC130" s="153">
        <f t="shared" si="168"/>
        <v>9.7598631984953749E-2</v>
      </c>
      <c r="CD130" s="5">
        <f t="shared" si="239"/>
        <v>0.62000000000000011</v>
      </c>
      <c r="CE130" s="153">
        <f t="shared" si="240"/>
        <v>0.86399272847694031</v>
      </c>
      <c r="CF130" s="5">
        <f t="shared" si="241"/>
        <v>86.399272847694036</v>
      </c>
      <c r="CG130">
        <f t="shared" si="242"/>
        <v>20.000000000000004</v>
      </c>
      <c r="CI130" s="59">
        <f t="shared" si="243"/>
        <v>-50</v>
      </c>
      <c r="CJ130">
        <f t="shared" si="244"/>
        <v>-50</v>
      </c>
    </row>
    <row r="131" spans="5:88" x14ac:dyDescent="0.25">
      <c r="E131" s="150">
        <v>21</v>
      </c>
      <c r="F131" s="191">
        <f t="shared" si="245"/>
        <v>2.1000000000000001E-2</v>
      </c>
      <c r="G131" s="191">
        <f t="shared" si="183"/>
        <v>2.1000000000000001E-2</v>
      </c>
      <c r="H131" s="191">
        <f t="shared" si="184"/>
        <v>0.315</v>
      </c>
      <c r="I131" s="191">
        <f t="shared" si="185"/>
        <v>0.33600000000000002</v>
      </c>
      <c r="J131" s="472">
        <f t="shared" si="186"/>
        <v>13</v>
      </c>
      <c r="K131" s="386">
        <f t="shared" si="187"/>
        <v>15.32</v>
      </c>
      <c r="L131" s="386">
        <f t="shared" si="188"/>
        <v>28.32</v>
      </c>
      <c r="M131" s="386"/>
      <c r="N131" s="191">
        <f t="shared" si="189"/>
        <v>0.54096045197740117</v>
      </c>
      <c r="O131" s="152">
        <f t="shared" si="190"/>
        <v>1.1484503143794424</v>
      </c>
      <c r="P131" s="152">
        <f t="shared" si="191"/>
        <v>2.5316949152542376</v>
      </c>
      <c r="Q131" s="191">
        <f t="shared" si="192"/>
        <v>7.6563354291962829E-2</v>
      </c>
      <c r="R131" s="191">
        <f t="shared" si="193"/>
        <v>7.1778144648715153E-2</v>
      </c>
      <c r="S131" s="191">
        <f t="shared" si="194"/>
        <v>15</v>
      </c>
      <c r="T131" s="191">
        <f t="shared" si="195"/>
        <v>0.20571199035950991</v>
      </c>
      <c r="U131" s="191">
        <f t="shared" si="196"/>
        <v>0.74372796514592032</v>
      </c>
      <c r="V131" s="191">
        <f t="shared" si="197"/>
        <v>0.63110075371390106</v>
      </c>
      <c r="W131" s="175">
        <f t="shared" si="198"/>
        <v>350</v>
      </c>
      <c r="X131" s="386">
        <f t="shared" si="199"/>
        <v>350</v>
      </c>
      <c r="Z131" s="191">
        <f t="shared" si="200"/>
        <v>0.42750674016451157</v>
      </c>
      <c r="AA131" s="153">
        <f t="shared" si="201"/>
        <v>1.3115415657788541</v>
      </c>
      <c r="AB131" s="153">
        <f t="shared" si="202"/>
        <v>4.7478024382677106E-2</v>
      </c>
      <c r="AC131" s="153"/>
      <c r="AD131" s="153">
        <f t="shared" si="203"/>
        <v>0.46018276762402083</v>
      </c>
      <c r="AE131" s="317">
        <f t="shared" si="204"/>
        <v>608.45390070922008</v>
      </c>
      <c r="AF131" s="463">
        <f t="shared" si="205"/>
        <v>1.2079797650130546E-2</v>
      </c>
      <c r="AH131" s="153">
        <f t="shared" si="206"/>
        <v>0.28133420725218039</v>
      </c>
      <c r="AI131" s="153">
        <f t="shared" si="207"/>
        <v>0.28133420725218039</v>
      </c>
      <c r="AJ131" s="153">
        <f t="shared" si="208"/>
        <v>1.297284597964578</v>
      </c>
      <c r="AL131" s="317">
        <f t="shared" si="209"/>
        <v>21</v>
      </c>
      <c r="AM131" s="147">
        <f t="shared" si="210"/>
        <v>350</v>
      </c>
      <c r="AO131" s="147">
        <f t="shared" si="211"/>
        <v>21</v>
      </c>
      <c r="AP131" s="147">
        <f t="shared" si="212"/>
        <v>350</v>
      </c>
      <c r="AR131" s="5">
        <f t="shared" si="160"/>
        <v>2.8571428571428572</v>
      </c>
      <c r="AS131" s="5">
        <f t="shared" si="246"/>
        <v>1.0171313646809597</v>
      </c>
      <c r="AT131" s="5">
        <f t="shared" si="247"/>
        <v>1.8400114924618975</v>
      </c>
      <c r="AU131" s="153">
        <f t="shared" si="248"/>
        <v>0.35599597763833585</v>
      </c>
      <c r="AW131" s="5">
        <f t="shared" si="216"/>
        <v>0.14239839105533436</v>
      </c>
      <c r="AX131" s="5"/>
      <c r="AY131" s="5">
        <f t="shared" si="217"/>
        <v>0.13349849161437596</v>
      </c>
      <c r="AZ131" s="5"/>
      <c r="BA131" s="5">
        <f t="shared" si="218"/>
        <v>6.6051694601196323E-2</v>
      </c>
      <c r="BB131" s="5"/>
      <c r="BC131" s="5"/>
      <c r="BD131" s="153">
        <f t="shared" si="219"/>
        <v>9.6913540352469393E-2</v>
      </c>
      <c r="BE131" s="153">
        <f t="shared" si="220"/>
        <v>0.13034854974166207</v>
      </c>
      <c r="BF131" s="153">
        <f t="shared" si="221"/>
        <v>0.13051894000276229</v>
      </c>
      <c r="BG131" s="153"/>
      <c r="BH131" s="463">
        <f t="shared" si="222"/>
        <v>3.2872820062773999E-3</v>
      </c>
      <c r="BI131" s="463">
        <f t="shared" si="223"/>
        <v>1.3942923311418061E-2</v>
      </c>
      <c r="BJ131" s="463">
        <f t="shared" si="224"/>
        <v>4.3749999999999995E-3</v>
      </c>
      <c r="BK131" s="463">
        <f t="shared" si="225"/>
        <v>1.4035392000000001E-2</v>
      </c>
      <c r="BL131">
        <f t="shared" si="226"/>
        <v>3.7699999999999999E-3</v>
      </c>
      <c r="BM131">
        <f t="shared" si="227"/>
        <v>6.9999999999999999E-6</v>
      </c>
      <c r="BN131">
        <f t="shared" si="228"/>
        <v>3.9885571128234563E-2</v>
      </c>
      <c r="BO131" s="147">
        <f t="shared" si="229"/>
        <v>39.410597317695469</v>
      </c>
      <c r="BP131" s="153">
        <f t="shared" si="230"/>
        <v>8.4000000000000012E-3</v>
      </c>
      <c r="BQ131" s="153">
        <f t="shared" si="231"/>
        <v>8.4000000000000012E-3</v>
      </c>
      <c r="BR131" s="463"/>
      <c r="BT131" s="147">
        <f t="shared" si="232"/>
        <v>16.8</v>
      </c>
      <c r="BU131" s="463">
        <f t="shared" si="233"/>
        <v>9.3922343036497141E-3</v>
      </c>
      <c r="BV131" s="463">
        <f t="shared" si="234"/>
        <v>1.6990744419754553E-2</v>
      </c>
      <c r="BW131" s="463">
        <f t="shared" si="235"/>
        <v>8.5175968497223312E-4</v>
      </c>
      <c r="BX131" s="463">
        <f t="shared" si="236"/>
        <v>0</v>
      </c>
      <c r="BY131" s="463">
        <f t="shared" si="180"/>
        <v>3.0569511228708549E-2</v>
      </c>
      <c r="BZ131" s="463">
        <f t="shared" si="166"/>
        <v>2.7234738408376501E-2</v>
      </c>
      <c r="CA131" s="549">
        <f t="shared" si="237"/>
        <v>1.3851063829787241E-2</v>
      </c>
      <c r="CB131" s="147">
        <f t="shared" si="238"/>
        <v>98.890051875248801</v>
      </c>
      <c r="CC131" s="153">
        <f t="shared" si="168"/>
        <v>0.10110614618673035</v>
      </c>
      <c r="CD131" s="5">
        <f t="shared" si="239"/>
        <v>0.65100000000000002</v>
      </c>
      <c r="CE131" s="153">
        <f t="shared" si="240"/>
        <v>0.86556931265706205</v>
      </c>
      <c r="CF131" s="5">
        <f t="shared" si="241"/>
        <v>86.556931265706211</v>
      </c>
      <c r="CG131">
        <f t="shared" si="242"/>
        <v>21</v>
      </c>
      <c r="CI131" s="59">
        <f t="shared" si="243"/>
        <v>-50</v>
      </c>
      <c r="CJ131">
        <f t="shared" si="244"/>
        <v>-50</v>
      </c>
    </row>
    <row r="132" spans="5:88" x14ac:dyDescent="0.25">
      <c r="E132" s="150">
        <v>22</v>
      </c>
      <c r="F132" s="191">
        <f t="shared" si="245"/>
        <v>2.2000000000000002E-2</v>
      </c>
      <c r="G132" s="191">
        <f t="shared" si="183"/>
        <v>2.2000000000000002E-2</v>
      </c>
      <c r="H132" s="191">
        <f t="shared" si="184"/>
        <v>0.33</v>
      </c>
      <c r="I132" s="191">
        <f t="shared" si="185"/>
        <v>0.35200000000000004</v>
      </c>
      <c r="J132" s="472">
        <f t="shared" si="186"/>
        <v>13</v>
      </c>
      <c r="K132" s="386">
        <f t="shared" si="187"/>
        <v>15.32</v>
      </c>
      <c r="L132" s="386">
        <f t="shared" si="188"/>
        <v>28.32</v>
      </c>
      <c r="M132" s="386"/>
      <c r="N132" s="191">
        <f t="shared" si="189"/>
        <v>0.54096045197740117</v>
      </c>
      <c r="O132" s="152">
        <f t="shared" si="190"/>
        <v>1.1484503143794424</v>
      </c>
      <c r="P132" s="152">
        <f t="shared" si="191"/>
        <v>2.5316949152542376</v>
      </c>
      <c r="Q132" s="191">
        <f t="shared" si="192"/>
        <v>7.6563354291962829E-2</v>
      </c>
      <c r="R132" s="191">
        <f t="shared" si="193"/>
        <v>7.1778144648715153E-2</v>
      </c>
      <c r="S132" s="191">
        <f t="shared" si="194"/>
        <v>15</v>
      </c>
      <c r="T132" s="191">
        <f t="shared" si="195"/>
        <v>0.21550779942424847</v>
      </c>
      <c r="U132" s="191">
        <f t="shared" si="196"/>
        <v>0.77914358253382132</v>
      </c>
      <c r="V132" s="191">
        <f t="shared" si="197"/>
        <v>0.66115317055742018</v>
      </c>
      <c r="W132" s="175">
        <f t="shared" si="198"/>
        <v>350</v>
      </c>
      <c r="X132" s="386">
        <f t="shared" si="199"/>
        <v>350</v>
      </c>
      <c r="Z132" s="191">
        <f t="shared" si="200"/>
        <v>0.42750674016451157</v>
      </c>
      <c r="AA132" s="153">
        <f t="shared" si="201"/>
        <v>1.3115415657788541</v>
      </c>
      <c r="AB132" s="153">
        <f t="shared" si="202"/>
        <v>4.7478024382677106E-2</v>
      </c>
      <c r="AC132" s="153"/>
      <c r="AD132" s="153">
        <f t="shared" si="203"/>
        <v>0.46018276762402083</v>
      </c>
      <c r="AE132" s="317">
        <f t="shared" si="204"/>
        <v>637.42789598108766</v>
      </c>
      <c r="AF132" s="463">
        <f t="shared" si="205"/>
        <v>1.2079797650130546E-2</v>
      </c>
      <c r="AH132" s="153">
        <f t="shared" si="206"/>
        <v>0.28795474146243727</v>
      </c>
      <c r="AI132" s="153">
        <f t="shared" si="207"/>
        <v>0.28795474146243727</v>
      </c>
      <c r="AJ132" s="153">
        <f t="shared" si="208"/>
        <v>1.3021886973795831</v>
      </c>
      <c r="AL132" s="317">
        <f t="shared" si="209"/>
        <v>22.000000000000004</v>
      </c>
      <c r="AM132" s="147">
        <f t="shared" si="210"/>
        <v>350</v>
      </c>
      <c r="AO132" s="147">
        <f t="shared" si="211"/>
        <v>22.000000000000004</v>
      </c>
      <c r="AP132" s="147">
        <f t="shared" si="212"/>
        <v>350</v>
      </c>
      <c r="AR132" s="5">
        <f t="shared" si="160"/>
        <v>2.8571428571428572</v>
      </c>
      <c r="AS132" s="5">
        <f t="shared" si="246"/>
        <v>1.0410671422103501</v>
      </c>
      <c r="AT132" s="5">
        <f t="shared" si="247"/>
        <v>1.8160757149325071</v>
      </c>
      <c r="AU132" s="153">
        <f t="shared" si="248"/>
        <v>0.36437349977362254</v>
      </c>
      <c r="AW132" s="5">
        <f t="shared" si="216"/>
        <v>0.15268984752418469</v>
      </c>
      <c r="AX132" s="5"/>
      <c r="AY132" s="5">
        <f t="shared" si="217"/>
        <v>0.14314673205392314</v>
      </c>
      <c r="AZ132" s="5"/>
      <c r="BA132" s="5">
        <f t="shared" si="218"/>
        <v>6.8296864493188308E-2</v>
      </c>
      <c r="BB132" s="5"/>
      <c r="BC132" s="5"/>
      <c r="BD132" s="153">
        <f t="shared" si="219"/>
        <v>0.10035453400956038</v>
      </c>
      <c r="BE132" s="153">
        <f t="shared" si="220"/>
        <v>0.1325453829723629</v>
      </c>
      <c r="BF132" s="153">
        <f t="shared" si="221"/>
        <v>0.13271864491088889</v>
      </c>
      <c r="BG132" s="153"/>
      <c r="BH132" s="463">
        <f t="shared" si="222"/>
        <v>3.5248613736966034E-3</v>
      </c>
      <c r="BI132" s="463">
        <f t="shared" si="223"/>
        <v>1.4271036986878391E-2</v>
      </c>
      <c r="BJ132" s="463">
        <f t="shared" si="224"/>
        <v>4.3749999999999995E-3</v>
      </c>
      <c r="BK132" s="463">
        <f t="shared" si="225"/>
        <v>1.4035392000000001E-2</v>
      </c>
      <c r="BL132">
        <f t="shared" si="226"/>
        <v>3.7699999999999999E-3</v>
      </c>
      <c r="BM132">
        <f t="shared" si="227"/>
        <v>6.9999999999999999E-6</v>
      </c>
      <c r="BN132">
        <f t="shared" si="228"/>
        <v>4.0485475845829906E-2</v>
      </c>
      <c r="BO132" s="147">
        <f t="shared" si="229"/>
        <v>39.976290360575</v>
      </c>
      <c r="BP132" s="153">
        <f t="shared" si="230"/>
        <v>8.8000000000000005E-3</v>
      </c>
      <c r="BQ132" s="153">
        <f t="shared" si="231"/>
        <v>8.8000000000000005E-3</v>
      </c>
      <c r="BR132" s="463"/>
      <c r="BT132" s="147">
        <f t="shared" si="232"/>
        <v>17.600000000000001</v>
      </c>
      <c r="BU132" s="463">
        <f t="shared" si="233"/>
        <v>1.007103249627601E-2</v>
      </c>
      <c r="BV132" s="463">
        <f t="shared" si="234"/>
        <v>1.7568278547290348E-2</v>
      </c>
      <c r="BW132" s="463">
        <f t="shared" si="235"/>
        <v>8.8071193534913067E-4</v>
      </c>
      <c r="BX132" s="463">
        <f t="shared" si="236"/>
        <v>0</v>
      </c>
      <c r="BY132" s="463">
        <f t="shared" si="180"/>
        <v>3.201547229683227E-2</v>
      </c>
      <c r="BZ132" s="463">
        <f t="shared" si="166"/>
        <v>2.8520022978915489E-2</v>
      </c>
      <c r="CA132" s="549">
        <f t="shared" si="237"/>
        <v>1.4510638297872342E-2</v>
      </c>
      <c r="CB132" s="147">
        <f t="shared" si="238"/>
        <v>103.56615655253559</v>
      </c>
      <c r="CC132" s="153">
        <f t="shared" si="168"/>
        <v>0.10461158644053452</v>
      </c>
      <c r="CD132" s="5">
        <f t="shared" si="239"/>
        <v>0.68200000000000005</v>
      </c>
      <c r="CE132" s="153">
        <f t="shared" si="240"/>
        <v>0.86700985817675491</v>
      </c>
      <c r="CF132" s="5">
        <f t="shared" si="241"/>
        <v>86.700985817675488</v>
      </c>
      <c r="CG132">
        <f t="shared" si="242"/>
        <v>22</v>
      </c>
      <c r="CI132" s="59">
        <f t="shared" si="243"/>
        <v>-50</v>
      </c>
      <c r="CJ132">
        <f t="shared" si="244"/>
        <v>-50</v>
      </c>
    </row>
    <row r="133" spans="5:88" x14ac:dyDescent="0.25">
      <c r="E133" s="150">
        <v>23</v>
      </c>
      <c r="F133" s="191">
        <f t="shared" si="245"/>
        <v>2.3000000000000003E-2</v>
      </c>
      <c r="G133" s="191">
        <f t="shared" si="183"/>
        <v>2.3000000000000003E-2</v>
      </c>
      <c r="H133" s="191">
        <f t="shared" si="184"/>
        <v>0.34500000000000003</v>
      </c>
      <c r="I133" s="191">
        <f t="shared" si="185"/>
        <v>0.36800000000000005</v>
      </c>
      <c r="J133" s="472">
        <f t="shared" si="186"/>
        <v>13</v>
      </c>
      <c r="K133" s="386">
        <f t="shared" si="187"/>
        <v>15.32</v>
      </c>
      <c r="L133" s="386">
        <f t="shared" si="188"/>
        <v>28.32</v>
      </c>
      <c r="M133" s="386"/>
      <c r="N133" s="191">
        <f t="shared" si="189"/>
        <v>0.54096045197740117</v>
      </c>
      <c r="O133" s="152">
        <f t="shared" si="190"/>
        <v>1.1484503143794424</v>
      </c>
      <c r="P133" s="152">
        <f t="shared" si="191"/>
        <v>2.5316949152542376</v>
      </c>
      <c r="Q133" s="191">
        <f t="shared" si="192"/>
        <v>7.6563354291962829E-2</v>
      </c>
      <c r="R133" s="191">
        <f t="shared" si="193"/>
        <v>7.1778144648715153E-2</v>
      </c>
      <c r="S133" s="191">
        <f t="shared" si="194"/>
        <v>15</v>
      </c>
      <c r="T133" s="191">
        <f t="shared" si="195"/>
        <v>0.22530360848898706</v>
      </c>
      <c r="U133" s="191">
        <f t="shared" si="196"/>
        <v>0.81455919992172243</v>
      </c>
      <c r="V133" s="191">
        <f t="shared" si="197"/>
        <v>0.6912055874009394</v>
      </c>
      <c r="W133" s="175">
        <f t="shared" si="198"/>
        <v>350</v>
      </c>
      <c r="X133" s="386">
        <f t="shared" si="199"/>
        <v>350</v>
      </c>
      <c r="Z133" s="191">
        <f t="shared" si="200"/>
        <v>0.42750674016451157</v>
      </c>
      <c r="AA133" s="153">
        <f t="shared" si="201"/>
        <v>1.3115415657788541</v>
      </c>
      <c r="AB133" s="153">
        <f t="shared" si="202"/>
        <v>4.7478024382677106E-2</v>
      </c>
      <c r="AC133" s="153"/>
      <c r="AD133" s="153">
        <f t="shared" si="203"/>
        <v>0.46018276762402083</v>
      </c>
      <c r="AE133" s="317">
        <f t="shared" si="204"/>
        <v>666.40189125295535</v>
      </c>
      <c r="AF133" s="463">
        <f t="shared" si="205"/>
        <v>1.2079797650130546E-2</v>
      </c>
      <c r="AH133" s="153">
        <f t="shared" si="206"/>
        <v>0.29442644258147982</v>
      </c>
      <c r="AI133" s="153">
        <f t="shared" si="207"/>
        <v>0.29442644258147982</v>
      </c>
      <c r="AJ133" s="153">
        <f t="shared" si="208"/>
        <v>1.3069825500603554</v>
      </c>
      <c r="AL133" s="317">
        <f t="shared" si="209"/>
        <v>23.000000000000004</v>
      </c>
      <c r="AM133" s="147">
        <f t="shared" si="210"/>
        <v>350</v>
      </c>
      <c r="AO133" s="147">
        <f t="shared" si="211"/>
        <v>23.000000000000004</v>
      </c>
      <c r="AP133" s="147">
        <f t="shared" si="212"/>
        <v>350</v>
      </c>
      <c r="AR133" s="5">
        <f t="shared" si="160"/>
        <v>2.8571428571428572</v>
      </c>
      <c r="AS133" s="5">
        <f t="shared" si="246"/>
        <v>1.0644648308715037</v>
      </c>
      <c r="AT133" s="5">
        <f t="shared" si="247"/>
        <v>1.7926780262713535</v>
      </c>
      <c r="AU133" s="153">
        <f t="shared" si="248"/>
        <v>0.3725626908050263</v>
      </c>
      <c r="AW133" s="5">
        <f t="shared" si="216"/>
        <v>0.16321794073363061</v>
      </c>
      <c r="AX133" s="5"/>
      <c r="AY133" s="5">
        <f t="shared" si="217"/>
        <v>0.15301681943777867</v>
      </c>
      <c r="AZ133" s="5"/>
      <c r="BA133" s="5">
        <f t="shared" si="218"/>
        <v>7.0481358297848087E-2</v>
      </c>
      <c r="BB133" s="5"/>
      <c r="BC133" s="5"/>
      <c r="BD133" s="153">
        <f t="shared" si="219"/>
        <v>0.10375663180796245</v>
      </c>
      <c r="BE133" s="153">
        <f t="shared" si="220"/>
        <v>0.13464844863419478</v>
      </c>
      <c r="BF133" s="153">
        <f t="shared" si="221"/>
        <v>0.13482445967816106</v>
      </c>
      <c r="BG133" s="153"/>
      <c r="BH133" s="463">
        <f t="shared" si="222"/>
        <v>3.7679035254465799E-3</v>
      </c>
      <c r="BI133" s="463">
        <f t="shared" si="223"/>
        <v>1.459177449433814E-2</v>
      </c>
      <c r="BJ133" s="463">
        <f t="shared" si="224"/>
        <v>4.3749999999999995E-3</v>
      </c>
      <c r="BK133" s="463">
        <f t="shared" si="225"/>
        <v>1.4035392000000001E-2</v>
      </c>
      <c r="BL133">
        <f t="shared" si="226"/>
        <v>3.7699999999999999E-3</v>
      </c>
      <c r="BM133">
        <f t="shared" si="227"/>
        <v>6.9999999999999999E-6</v>
      </c>
      <c r="BN133">
        <f t="shared" si="228"/>
        <v>4.1084297904003454E-2</v>
      </c>
      <c r="BO133" s="147">
        <f t="shared" si="229"/>
        <v>40.540070019784721</v>
      </c>
      <c r="BP133" s="153">
        <f t="shared" si="230"/>
        <v>9.2000000000000016E-3</v>
      </c>
      <c r="BQ133" s="153">
        <f t="shared" si="231"/>
        <v>9.2000000000000016E-3</v>
      </c>
      <c r="BR133" s="463"/>
      <c r="BT133" s="147">
        <f t="shared" si="232"/>
        <v>18.400000000000002</v>
      </c>
      <c r="BU133" s="463">
        <f t="shared" si="233"/>
        <v>1.0765438644133086E-2</v>
      </c>
      <c r="BV133" s="463">
        <f t="shared" si="234"/>
        <v>1.8130204719595391E-2</v>
      </c>
      <c r="BW133" s="463">
        <f t="shared" si="235"/>
        <v>9.0888174637540403E-4</v>
      </c>
      <c r="BX133" s="463">
        <f t="shared" si="236"/>
        <v>0</v>
      </c>
      <c r="BY133" s="463">
        <f t="shared" si="180"/>
        <v>3.3460850904996627E-2</v>
      </c>
      <c r="BZ133" s="463">
        <f t="shared" si="166"/>
        <v>2.9804525110103879E-2</v>
      </c>
      <c r="CA133" s="549">
        <f t="shared" si="237"/>
        <v>1.5170212765957451E-2</v>
      </c>
      <c r="CB133" s="147">
        <f t="shared" si="238"/>
        <v>108.24011389116184</v>
      </c>
      <c r="CC133" s="153">
        <f t="shared" si="168"/>
        <v>0.10811536157495753</v>
      </c>
      <c r="CD133" s="5">
        <f t="shared" si="239"/>
        <v>0.71300000000000008</v>
      </c>
      <c r="CE133" s="153">
        <f t="shared" si="240"/>
        <v>0.86833109373622663</v>
      </c>
      <c r="CF133" s="5">
        <f t="shared" si="241"/>
        <v>86.833109373622662</v>
      </c>
      <c r="CG133">
        <f t="shared" si="242"/>
        <v>23</v>
      </c>
      <c r="CI133" s="59">
        <f t="shared" si="243"/>
        <v>-50</v>
      </c>
      <c r="CJ133">
        <f t="shared" si="244"/>
        <v>-50</v>
      </c>
    </row>
    <row r="134" spans="5:88" x14ac:dyDescent="0.25">
      <c r="E134" s="150">
        <v>24</v>
      </c>
      <c r="F134" s="191">
        <f t="shared" si="245"/>
        <v>2.4E-2</v>
      </c>
      <c r="G134" s="191">
        <f t="shared" si="183"/>
        <v>2.4E-2</v>
      </c>
      <c r="H134" s="191">
        <f t="shared" si="184"/>
        <v>0.36</v>
      </c>
      <c r="I134" s="191">
        <f t="shared" si="185"/>
        <v>0.38400000000000001</v>
      </c>
      <c r="J134" s="472">
        <f t="shared" si="186"/>
        <v>13</v>
      </c>
      <c r="K134" s="386">
        <f t="shared" si="187"/>
        <v>15.32</v>
      </c>
      <c r="L134" s="386">
        <f t="shared" si="188"/>
        <v>28.32</v>
      </c>
      <c r="M134" s="386"/>
      <c r="N134" s="191">
        <f t="shared" si="189"/>
        <v>0.54096045197740117</v>
      </c>
      <c r="O134" s="152">
        <f t="shared" si="190"/>
        <v>1.1484503143794424</v>
      </c>
      <c r="P134" s="152">
        <f t="shared" si="191"/>
        <v>2.5316949152542376</v>
      </c>
      <c r="Q134" s="191">
        <f t="shared" si="192"/>
        <v>7.6563354291962829E-2</v>
      </c>
      <c r="R134" s="191">
        <f t="shared" si="193"/>
        <v>7.1778144648715153E-2</v>
      </c>
      <c r="S134" s="191">
        <f t="shared" si="194"/>
        <v>15</v>
      </c>
      <c r="T134" s="191">
        <f t="shared" si="195"/>
        <v>0.2350994175537256</v>
      </c>
      <c r="U134" s="191">
        <f t="shared" si="196"/>
        <v>0.84997481730962332</v>
      </c>
      <c r="V134" s="191">
        <f t="shared" si="197"/>
        <v>0.72125800424445841</v>
      </c>
      <c r="W134" s="175">
        <f t="shared" si="198"/>
        <v>350</v>
      </c>
      <c r="X134" s="386">
        <f t="shared" si="199"/>
        <v>350</v>
      </c>
      <c r="Z134" s="191">
        <f t="shared" si="200"/>
        <v>0.42750674016451157</v>
      </c>
      <c r="AA134" s="153">
        <f t="shared" si="201"/>
        <v>1.3115415657788541</v>
      </c>
      <c r="AB134" s="153">
        <f t="shared" si="202"/>
        <v>4.7478024382677106E-2</v>
      </c>
      <c r="AC134" s="153"/>
      <c r="AD134" s="153">
        <f t="shared" si="203"/>
        <v>0.46018276762402083</v>
      </c>
      <c r="AE134" s="317">
        <f t="shared" si="204"/>
        <v>695.37588652482293</v>
      </c>
      <c r="AF134" s="463">
        <f t="shared" si="205"/>
        <v>1.2079797650130546E-2</v>
      </c>
      <c r="AH134" s="153">
        <f t="shared" si="206"/>
        <v>0.30075891849066044</v>
      </c>
      <c r="AI134" s="153">
        <f t="shared" si="207"/>
        <v>0.30075891849066044</v>
      </c>
      <c r="AJ134" s="153">
        <f t="shared" si="208"/>
        <v>1.3116732729560447</v>
      </c>
      <c r="AL134" s="317">
        <f t="shared" si="209"/>
        <v>24</v>
      </c>
      <c r="AM134" s="147">
        <f t="shared" si="210"/>
        <v>350</v>
      </c>
      <c r="AO134" s="147">
        <f t="shared" si="211"/>
        <v>24</v>
      </c>
      <c r="AP134" s="147">
        <f t="shared" si="212"/>
        <v>350</v>
      </c>
      <c r="AR134" s="5">
        <f t="shared" ref="AR134:AR197" si="249">1/AM134*1000</f>
        <v>2.8571428571428572</v>
      </c>
      <c r="AS134" s="5">
        <f t="shared" si="246"/>
        <v>1.0873591668508493</v>
      </c>
      <c r="AT134" s="5">
        <f t="shared" si="247"/>
        <v>1.7697836902920079</v>
      </c>
      <c r="AU134" s="153">
        <f t="shared" si="248"/>
        <v>0.38057570839779725</v>
      </c>
      <c r="AW134" s="5">
        <f t="shared" si="216"/>
        <v>0.17397746669613592</v>
      </c>
      <c r="AX134" s="5"/>
      <c r="AY134" s="5">
        <f t="shared" si="217"/>
        <v>0.16310387502762741</v>
      </c>
      <c r="AZ134" s="5"/>
      <c r="BA134" s="5">
        <f t="shared" si="218"/>
        <v>7.2606510370954169E-2</v>
      </c>
      <c r="BB134" s="5"/>
      <c r="BC134" s="5"/>
      <c r="BD134" s="153">
        <f t="shared" si="219"/>
        <v>0.10712193755477827</v>
      </c>
      <c r="BE134" s="153">
        <f t="shared" si="220"/>
        <v>0.1366633315062997</v>
      </c>
      <c r="BF134" s="153">
        <f t="shared" si="221"/>
        <v>0.13684197638408568</v>
      </c>
      <c r="BG134" s="153"/>
      <c r="BH134" s="463">
        <f t="shared" si="222"/>
        <v>4.016288326921435E-3</v>
      </c>
      <c r="BI134" s="463">
        <f t="shared" si="223"/>
        <v>1.4905612000397132E-2</v>
      </c>
      <c r="BJ134" s="463">
        <f t="shared" si="224"/>
        <v>4.3749999999999995E-3</v>
      </c>
      <c r="BK134" s="463">
        <f t="shared" si="225"/>
        <v>1.4035392000000001E-2</v>
      </c>
      <c r="BL134">
        <f t="shared" si="226"/>
        <v>3.7699999999999999E-3</v>
      </c>
      <c r="BM134">
        <f t="shared" si="227"/>
        <v>6.9999999999999999E-6</v>
      </c>
      <c r="BN134">
        <f t="shared" si="228"/>
        <v>4.16823781102275E-2</v>
      </c>
      <c r="BO134" s="147">
        <f t="shared" si="229"/>
        <v>41.102292327318565</v>
      </c>
      <c r="BP134" s="153">
        <f t="shared" si="230"/>
        <v>9.6000000000000009E-3</v>
      </c>
      <c r="BQ134" s="153">
        <f t="shared" si="231"/>
        <v>9.6000000000000009E-3</v>
      </c>
      <c r="BR134" s="463"/>
      <c r="BT134" s="147">
        <f t="shared" si="232"/>
        <v>19.200000000000003</v>
      </c>
      <c r="BU134" s="463">
        <f t="shared" si="233"/>
        <v>1.1475109505489814E-2</v>
      </c>
      <c r="BV134" s="463">
        <f t="shared" si="234"/>
        <v>1.8676866178400767E-2</v>
      </c>
      <c r="BW134" s="463">
        <f t="shared" si="235"/>
        <v>9.3628632503513329E-4</v>
      </c>
      <c r="BX134" s="463">
        <f t="shared" si="236"/>
        <v>0</v>
      </c>
      <c r="BY134" s="463">
        <f t="shared" si="180"/>
        <v>3.4905665969136364E-2</v>
      </c>
      <c r="BZ134" s="463">
        <f t="shared" ref="BZ134:BZ197" si="250">SUM(BU134:BX134)</f>
        <v>3.1088262008925713E-2</v>
      </c>
      <c r="CA134" s="549">
        <f t="shared" si="237"/>
        <v>1.5829787234042554E-2</v>
      </c>
      <c r="CB134" s="147">
        <f t="shared" si="238"/>
        <v>112.91197722103036</v>
      </c>
      <c r="CC134" s="153">
        <f t="shared" ref="CC134:CC197" si="251">SUM(BN134,BP134:BS134,BY134, CA134)</f>
        <v>0.11161783131340641</v>
      </c>
      <c r="CD134" s="5">
        <f t="shared" si="239"/>
        <v>0.74399999999999999</v>
      </c>
      <c r="CE134" s="153">
        <f t="shared" si="240"/>
        <v>0.86954709541049569</v>
      </c>
      <c r="CF134" s="5">
        <f t="shared" si="241"/>
        <v>86.954709541049567</v>
      </c>
      <c r="CG134">
        <f t="shared" si="242"/>
        <v>24</v>
      </c>
      <c r="CI134" s="59">
        <f t="shared" si="243"/>
        <v>-50</v>
      </c>
      <c r="CJ134">
        <f t="shared" si="244"/>
        <v>-50</v>
      </c>
    </row>
    <row r="135" spans="5:88" x14ac:dyDescent="0.25">
      <c r="E135" s="150">
        <v>25</v>
      </c>
      <c r="F135" s="191">
        <f t="shared" si="245"/>
        <v>2.5000000000000001E-2</v>
      </c>
      <c r="G135" s="191">
        <f t="shared" si="183"/>
        <v>2.5000000000000001E-2</v>
      </c>
      <c r="H135" s="191">
        <f t="shared" si="184"/>
        <v>0.375</v>
      </c>
      <c r="I135" s="191">
        <f t="shared" si="185"/>
        <v>0.4</v>
      </c>
      <c r="J135" s="472">
        <f t="shared" si="186"/>
        <v>13</v>
      </c>
      <c r="K135" s="386">
        <f t="shared" si="187"/>
        <v>15.32</v>
      </c>
      <c r="L135" s="386">
        <f t="shared" si="188"/>
        <v>28.32</v>
      </c>
      <c r="M135" s="386"/>
      <c r="N135" s="191">
        <f t="shared" si="189"/>
        <v>0.54096045197740117</v>
      </c>
      <c r="O135" s="152">
        <f t="shared" si="190"/>
        <v>1.1484503143794424</v>
      </c>
      <c r="P135" s="152">
        <f t="shared" si="191"/>
        <v>2.5316949152542376</v>
      </c>
      <c r="Q135" s="191">
        <f t="shared" si="192"/>
        <v>7.6563354291962829E-2</v>
      </c>
      <c r="R135" s="191">
        <f t="shared" si="193"/>
        <v>7.1778144648715153E-2</v>
      </c>
      <c r="S135" s="191">
        <f t="shared" si="194"/>
        <v>15</v>
      </c>
      <c r="T135" s="191">
        <f t="shared" si="195"/>
        <v>0.24489522661846416</v>
      </c>
      <c r="U135" s="191">
        <f t="shared" si="196"/>
        <v>0.88539043469752421</v>
      </c>
      <c r="V135" s="191">
        <f t="shared" si="197"/>
        <v>0.75131042108797741</v>
      </c>
      <c r="W135" s="175">
        <f t="shared" si="198"/>
        <v>350</v>
      </c>
      <c r="X135" s="386">
        <f t="shared" si="199"/>
        <v>350</v>
      </c>
      <c r="Z135" s="191">
        <f t="shared" si="200"/>
        <v>0.42750674016451157</v>
      </c>
      <c r="AA135" s="153">
        <f t="shared" si="201"/>
        <v>1.3115415657788541</v>
      </c>
      <c r="AB135" s="153">
        <f t="shared" si="202"/>
        <v>4.7478024382677106E-2</v>
      </c>
      <c r="AC135" s="153"/>
      <c r="AD135" s="153">
        <f t="shared" si="203"/>
        <v>0.46018276762402083</v>
      </c>
      <c r="AE135" s="317">
        <f t="shared" si="204"/>
        <v>724.34988179669051</v>
      </c>
      <c r="AF135" s="463">
        <f t="shared" si="205"/>
        <v>1.2079797650130546E-2</v>
      </c>
      <c r="AH135" s="153">
        <f t="shared" si="206"/>
        <v>0.30696078578893116</v>
      </c>
      <c r="AI135" s="153">
        <f t="shared" si="207"/>
        <v>0.30696078578893116</v>
      </c>
      <c r="AJ135" s="153">
        <f t="shared" si="208"/>
        <v>1.3162672487325415</v>
      </c>
      <c r="AL135" s="317">
        <f t="shared" si="209"/>
        <v>25</v>
      </c>
      <c r="AM135" s="147">
        <f t="shared" si="210"/>
        <v>350</v>
      </c>
      <c r="AO135" s="147">
        <f t="shared" si="211"/>
        <v>25</v>
      </c>
      <c r="AP135" s="147">
        <f t="shared" si="212"/>
        <v>350</v>
      </c>
      <c r="AR135" s="5">
        <f t="shared" si="249"/>
        <v>2.8571428571428572</v>
      </c>
      <c r="AS135" s="5">
        <f t="shared" si="246"/>
        <v>1.1097813024676741</v>
      </c>
      <c r="AT135" s="5">
        <f t="shared" si="247"/>
        <v>1.7473615546751831</v>
      </c>
      <c r="AU135" s="153">
        <f t="shared" si="248"/>
        <v>0.38842345586368593</v>
      </c>
      <c r="AW135" s="5">
        <f t="shared" si="216"/>
        <v>0.18496355041127904</v>
      </c>
      <c r="AX135" s="5"/>
      <c r="AY135" s="5">
        <f t="shared" si="217"/>
        <v>0.17340332851057408</v>
      </c>
      <c r="AZ135" s="5"/>
      <c r="BA135" s="5">
        <f t="shared" si="218"/>
        <v>7.4673570712614656E-2</v>
      </c>
      <c r="BB135" s="5"/>
      <c r="BC135" s="5"/>
      <c r="BD135" s="153">
        <f t="shared" si="219"/>
        <v>0.11045235867904865</v>
      </c>
      <c r="BE135" s="153">
        <f t="shared" si="220"/>
        <v>0.13859503766833603</v>
      </c>
      <c r="BF135" s="153">
        <f t="shared" si="221"/>
        <v>0.13877620765221621</v>
      </c>
      <c r="BG135" s="153"/>
      <c r="BH135" s="463">
        <f t="shared" si="222"/>
        <v>4.2699032382178242E-3</v>
      </c>
      <c r="BI135" s="463">
        <f t="shared" si="223"/>
        <v>1.5212976543699429E-2</v>
      </c>
      <c r="BJ135" s="463">
        <f t="shared" si="224"/>
        <v>4.3749999999999995E-3</v>
      </c>
      <c r="BK135" s="463">
        <f t="shared" si="225"/>
        <v>1.4035392000000001E-2</v>
      </c>
      <c r="BL135">
        <f t="shared" si="226"/>
        <v>3.7699999999999999E-3</v>
      </c>
      <c r="BM135">
        <f t="shared" si="227"/>
        <v>6.9999999999999999E-6</v>
      </c>
      <c r="BN135">
        <f t="shared" si="228"/>
        <v>4.2280016795702507E-2</v>
      </c>
      <c r="BO135" s="147">
        <f t="shared" si="229"/>
        <v>41.66327178191726</v>
      </c>
      <c r="BP135" s="153">
        <f t="shared" si="230"/>
        <v>1.0000000000000002E-2</v>
      </c>
      <c r="BQ135" s="153">
        <f t="shared" si="231"/>
        <v>1.0000000000000002E-2</v>
      </c>
      <c r="BR135" s="463"/>
      <c r="BT135" s="147">
        <f t="shared" si="232"/>
        <v>20.000000000000004</v>
      </c>
      <c r="BU135" s="463">
        <f t="shared" si="233"/>
        <v>1.2199723537765213E-2</v>
      </c>
      <c r="BV135" s="463">
        <f t="shared" si="234"/>
        <v>1.9208584466287482E-2</v>
      </c>
      <c r="BW135" s="463">
        <f t="shared" si="235"/>
        <v>9.6294179051655167E-4</v>
      </c>
      <c r="BX135" s="463">
        <f t="shared" si="236"/>
        <v>0</v>
      </c>
      <c r="BY135" s="463">
        <f t="shared" si="180"/>
        <v>3.634993519649854E-2</v>
      </c>
      <c r="BZ135" s="463">
        <f t="shared" si="250"/>
        <v>3.2371249794569248E-2</v>
      </c>
      <c r="CA135" s="549">
        <f t="shared" si="237"/>
        <v>1.6489361702127669E-2</v>
      </c>
      <c r="CB135" s="147">
        <f t="shared" si="238"/>
        <v>117.58179648776471</v>
      </c>
      <c r="CC135" s="153">
        <f t="shared" si="251"/>
        <v>0.11511931369432872</v>
      </c>
      <c r="CD135" s="5">
        <f t="shared" si="239"/>
        <v>0.77500000000000002</v>
      </c>
      <c r="CE135" s="153">
        <f t="shared" si="240"/>
        <v>0.87066979457333604</v>
      </c>
      <c r="CF135" s="5">
        <f t="shared" si="241"/>
        <v>87.066979457333602</v>
      </c>
      <c r="CG135">
        <f t="shared" si="242"/>
        <v>25</v>
      </c>
      <c r="CI135" s="59">
        <f t="shared" si="243"/>
        <v>-50</v>
      </c>
      <c r="CJ135">
        <f t="shared" si="244"/>
        <v>-50</v>
      </c>
    </row>
    <row r="136" spans="5:88" x14ac:dyDescent="0.25">
      <c r="E136" s="150">
        <v>26</v>
      </c>
      <c r="F136" s="191">
        <f t="shared" si="245"/>
        <v>2.6000000000000002E-2</v>
      </c>
      <c r="G136" s="191">
        <f t="shared" si="183"/>
        <v>2.6000000000000002E-2</v>
      </c>
      <c r="H136" s="191">
        <f t="shared" si="184"/>
        <v>0.39</v>
      </c>
      <c r="I136" s="191">
        <f t="shared" si="185"/>
        <v>0.41600000000000004</v>
      </c>
      <c r="J136" s="472">
        <f t="shared" si="186"/>
        <v>13</v>
      </c>
      <c r="K136" s="386">
        <f t="shared" si="187"/>
        <v>15.32</v>
      </c>
      <c r="L136" s="386">
        <f t="shared" si="188"/>
        <v>28.32</v>
      </c>
      <c r="M136" s="386"/>
      <c r="N136" s="191">
        <f t="shared" si="189"/>
        <v>0.54096045197740117</v>
      </c>
      <c r="O136" s="152">
        <f t="shared" si="190"/>
        <v>1.1484503143794424</v>
      </c>
      <c r="P136" s="152">
        <f t="shared" si="191"/>
        <v>2.5316949152542376</v>
      </c>
      <c r="Q136" s="191">
        <f t="shared" si="192"/>
        <v>7.6563354291962829E-2</v>
      </c>
      <c r="R136" s="191">
        <f t="shared" si="193"/>
        <v>7.1778144648715153E-2</v>
      </c>
      <c r="S136" s="191">
        <f t="shared" si="194"/>
        <v>15</v>
      </c>
      <c r="T136" s="191">
        <f t="shared" si="195"/>
        <v>0.25469103568320273</v>
      </c>
      <c r="U136" s="191">
        <f t="shared" si="196"/>
        <v>0.92080605208542521</v>
      </c>
      <c r="V136" s="191">
        <f t="shared" si="197"/>
        <v>0.78136283793149652</v>
      </c>
      <c r="W136" s="175">
        <f t="shared" si="198"/>
        <v>350</v>
      </c>
      <c r="X136" s="386">
        <f t="shared" si="199"/>
        <v>350</v>
      </c>
      <c r="Z136" s="191">
        <f t="shared" si="200"/>
        <v>0.42750674016451157</v>
      </c>
      <c r="AA136" s="153">
        <f t="shared" si="201"/>
        <v>1.3115415657788541</v>
      </c>
      <c r="AB136" s="153">
        <f t="shared" si="202"/>
        <v>4.7478024382677106E-2</v>
      </c>
      <c r="AC136" s="153"/>
      <c r="AD136" s="153">
        <f t="shared" si="203"/>
        <v>0.46018276762402083</v>
      </c>
      <c r="AE136" s="317">
        <f t="shared" si="204"/>
        <v>753.32387706855809</v>
      </c>
      <c r="AF136" s="463">
        <f t="shared" si="205"/>
        <v>1.2079797650130546E-2</v>
      </c>
      <c r="AH136" s="153">
        <f t="shared" si="206"/>
        <v>0.31303980732910691</v>
      </c>
      <c r="AI136" s="153">
        <f t="shared" si="207"/>
        <v>0.31303980732910691</v>
      </c>
      <c r="AJ136" s="153">
        <f t="shared" si="208"/>
        <v>1.3207702276511903</v>
      </c>
      <c r="AL136" s="317">
        <f t="shared" si="209"/>
        <v>26.000000000000004</v>
      </c>
      <c r="AM136" s="147">
        <f t="shared" si="210"/>
        <v>350</v>
      </c>
      <c r="AO136" s="147">
        <f t="shared" si="211"/>
        <v>26.000000000000004</v>
      </c>
      <c r="AP136" s="147">
        <f t="shared" si="212"/>
        <v>350</v>
      </c>
      <c r="AR136" s="5">
        <f t="shared" si="249"/>
        <v>2.8571428571428572</v>
      </c>
      <c r="AS136" s="5">
        <f t="shared" si="246"/>
        <v>1.1317593034206173</v>
      </c>
      <c r="AT136" s="5">
        <f t="shared" si="247"/>
        <v>1.7253835537222399</v>
      </c>
      <c r="AU136" s="153">
        <f t="shared" si="248"/>
        <v>0.39611575619721601</v>
      </c>
      <c r="AW136" s="5">
        <f t="shared" si="216"/>
        <v>0.19617161259290702</v>
      </c>
      <c r="AX136" s="5"/>
      <c r="AY136" s="5">
        <f t="shared" si="217"/>
        <v>0.18391088680585033</v>
      </c>
      <c r="AZ136" s="5"/>
      <c r="BA136" s="5">
        <f t="shared" si="218"/>
        <v>7.6683713498766223E-2</v>
      </c>
      <c r="BB136" s="5"/>
      <c r="BC136" s="5"/>
      <c r="BD136" s="153">
        <f t="shared" si="219"/>
        <v>0.11374963166066261</v>
      </c>
      <c r="BE136" s="153">
        <f t="shared" si="220"/>
        <v>0.14044807446625382</v>
      </c>
      <c r="BF136" s="153">
        <f t="shared" si="221"/>
        <v>0.14063166672045807</v>
      </c>
      <c r="BG136" s="153"/>
      <c r="BH136" s="463">
        <f t="shared" si="222"/>
        <v>4.5286425460277458E-3</v>
      </c>
      <c r="BI136" s="463">
        <f t="shared" si="223"/>
        <v>1.5514252851230537E-2</v>
      </c>
      <c r="BJ136" s="463">
        <f t="shared" si="224"/>
        <v>4.3749999999999995E-3</v>
      </c>
      <c r="BK136" s="463">
        <f t="shared" si="225"/>
        <v>1.4035392000000001E-2</v>
      </c>
      <c r="BL136">
        <f t="shared" si="226"/>
        <v>3.7699999999999999E-3</v>
      </c>
      <c r="BM136">
        <f t="shared" si="227"/>
        <v>6.9999999999999999E-6</v>
      </c>
      <c r="BN136">
        <f t="shared" si="228"/>
        <v>4.2877479756714632E-2</v>
      </c>
      <c r="BO136" s="147">
        <f t="shared" si="229"/>
        <v>42.223287397258289</v>
      </c>
      <c r="BP136" s="153">
        <f t="shared" si="230"/>
        <v>1.0400000000000001E-2</v>
      </c>
      <c r="BQ136" s="153">
        <f t="shared" si="231"/>
        <v>1.0400000000000001E-2</v>
      </c>
      <c r="BR136" s="463"/>
      <c r="BT136" s="147">
        <f t="shared" si="232"/>
        <v>20.800000000000004</v>
      </c>
      <c r="BU136" s="463">
        <f t="shared" si="233"/>
        <v>1.2938978702936418E-2</v>
      </c>
      <c r="BV136" s="463">
        <f t="shared" si="234"/>
        <v>1.9725661621278378E-2</v>
      </c>
      <c r="BW136" s="463">
        <f t="shared" si="235"/>
        <v>9.888632842286998E-4</v>
      </c>
      <c r="BX136" s="463">
        <f t="shared" si="236"/>
        <v>0</v>
      </c>
      <c r="BY136" s="463">
        <f t="shared" si="180"/>
        <v>3.7793675208256515E-2</v>
      </c>
      <c r="BZ136" s="463">
        <f t="shared" si="250"/>
        <v>3.3653503608443498E-2</v>
      </c>
      <c r="CA136" s="549">
        <f t="shared" si="237"/>
        <v>1.7148936170212771E-2</v>
      </c>
      <c r="CB136" s="147">
        <f t="shared" si="238"/>
        <v>122.24961859535627</v>
      </c>
      <c r="CC136" s="153">
        <f t="shared" si="251"/>
        <v>0.1186200911351839</v>
      </c>
      <c r="CD136" s="5">
        <f t="shared" si="239"/>
        <v>0.80600000000000005</v>
      </c>
      <c r="CE136" s="153">
        <f t="shared" si="240"/>
        <v>0.87170937310095609</v>
      </c>
      <c r="CF136" s="5">
        <f t="shared" si="241"/>
        <v>87.17093731009561</v>
      </c>
      <c r="CG136">
        <f t="shared" si="242"/>
        <v>26</v>
      </c>
      <c r="CI136" s="59">
        <f t="shared" si="243"/>
        <v>-50</v>
      </c>
      <c r="CJ136">
        <f t="shared" si="244"/>
        <v>-50</v>
      </c>
    </row>
    <row r="137" spans="5:88" x14ac:dyDescent="0.25">
      <c r="E137" s="150">
        <v>27</v>
      </c>
      <c r="F137" s="191">
        <f t="shared" si="245"/>
        <v>2.7000000000000003E-2</v>
      </c>
      <c r="G137" s="191">
        <f t="shared" si="183"/>
        <v>2.7000000000000003E-2</v>
      </c>
      <c r="H137" s="191">
        <f t="shared" si="184"/>
        <v>0.40500000000000003</v>
      </c>
      <c r="I137" s="191">
        <f t="shared" si="185"/>
        <v>0.43200000000000005</v>
      </c>
      <c r="J137" s="472">
        <f t="shared" si="186"/>
        <v>13</v>
      </c>
      <c r="K137" s="386">
        <f t="shared" si="187"/>
        <v>15.32</v>
      </c>
      <c r="L137" s="386">
        <f t="shared" si="188"/>
        <v>28.32</v>
      </c>
      <c r="M137" s="386"/>
      <c r="N137" s="191">
        <f t="shared" si="189"/>
        <v>0.54096045197740117</v>
      </c>
      <c r="O137" s="152">
        <f t="shared" si="190"/>
        <v>1.1484503143794424</v>
      </c>
      <c r="P137" s="152">
        <f t="shared" si="191"/>
        <v>2.5316949152542376</v>
      </c>
      <c r="Q137" s="191">
        <f t="shared" si="192"/>
        <v>7.6563354291962829E-2</v>
      </c>
      <c r="R137" s="191">
        <f t="shared" si="193"/>
        <v>7.1778144648715153E-2</v>
      </c>
      <c r="S137" s="191">
        <f t="shared" si="194"/>
        <v>15</v>
      </c>
      <c r="T137" s="191">
        <f t="shared" si="195"/>
        <v>0.26448684474794132</v>
      </c>
      <c r="U137" s="191">
        <f t="shared" si="196"/>
        <v>0.95622166947332621</v>
      </c>
      <c r="V137" s="191">
        <f t="shared" si="197"/>
        <v>0.81141525477501586</v>
      </c>
      <c r="W137" s="175">
        <f t="shared" si="198"/>
        <v>350</v>
      </c>
      <c r="X137" s="386">
        <f t="shared" si="199"/>
        <v>350</v>
      </c>
      <c r="Z137" s="191">
        <f t="shared" si="200"/>
        <v>0.42750674016451157</v>
      </c>
      <c r="AA137" s="153">
        <f t="shared" si="201"/>
        <v>1.3115415657788541</v>
      </c>
      <c r="AB137" s="153">
        <f t="shared" si="202"/>
        <v>4.7478024382677106E-2</v>
      </c>
      <c r="AC137" s="153"/>
      <c r="AD137" s="153">
        <f t="shared" si="203"/>
        <v>0.46018276762402083</v>
      </c>
      <c r="AE137" s="317">
        <f t="shared" si="204"/>
        <v>782.2978723404259</v>
      </c>
      <c r="AF137" s="463">
        <f t="shared" si="205"/>
        <v>1.2079797650130546E-2</v>
      </c>
      <c r="AH137" s="153">
        <f t="shared" si="206"/>
        <v>0.31900300615061716</v>
      </c>
      <c r="AI137" s="153">
        <f t="shared" si="207"/>
        <v>0.31900300615061716</v>
      </c>
      <c r="AJ137" s="153">
        <f t="shared" si="208"/>
        <v>1.3251874119634202</v>
      </c>
      <c r="AL137" s="317">
        <f t="shared" si="209"/>
        <v>27.000000000000004</v>
      </c>
      <c r="AM137" s="147">
        <f t="shared" si="210"/>
        <v>350</v>
      </c>
      <c r="AO137" s="147">
        <f t="shared" si="211"/>
        <v>27.000000000000004</v>
      </c>
      <c r="AP137" s="147">
        <f t="shared" si="212"/>
        <v>350</v>
      </c>
      <c r="AR137" s="5">
        <f t="shared" si="249"/>
        <v>2.8571428571428572</v>
      </c>
      <c r="AS137" s="5">
        <f t="shared" si="246"/>
        <v>1.1533185606983851</v>
      </c>
      <c r="AT137" s="5">
        <f t="shared" si="247"/>
        <v>1.7038242964444721</v>
      </c>
      <c r="AU137" s="153">
        <f t="shared" si="248"/>
        <v>0.40366149624443476</v>
      </c>
      <c r="AW137" s="5">
        <f t="shared" si="216"/>
        <v>0.20759734092570933</v>
      </c>
      <c r="AX137" s="5"/>
      <c r="AY137" s="5">
        <f t="shared" si="217"/>
        <v>0.19462250711785253</v>
      </c>
      <c r="AZ137" s="5"/>
      <c r="BA137" s="5">
        <f t="shared" si="218"/>
        <v>7.8638044451283334E-2</v>
      </c>
      <c r="BB137" s="5"/>
      <c r="BC137" s="5"/>
      <c r="BD137" s="153">
        <f t="shared" si="219"/>
        <v>0.11701534331742877</v>
      </c>
      <c r="BE137" s="153">
        <f t="shared" si="220"/>
        <v>0.14222651677054171</v>
      </c>
      <c r="BF137" s="153">
        <f t="shared" si="221"/>
        <v>0.14241243378592802</v>
      </c>
      <c r="BG137" s="153"/>
      <c r="BH137" s="463">
        <f t="shared" si="222"/>
        <v>4.7924067000935031E-3</v>
      </c>
      <c r="BI137" s="463">
        <f t="shared" si="223"/>
        <v>1.5809788984824588E-2</v>
      </c>
      <c r="BJ137" s="463">
        <f t="shared" si="224"/>
        <v>4.3749999999999995E-3</v>
      </c>
      <c r="BK137" s="463">
        <f t="shared" si="225"/>
        <v>1.4035392000000001E-2</v>
      </c>
      <c r="BL137">
        <f t="shared" si="226"/>
        <v>3.7699999999999999E-3</v>
      </c>
      <c r="BM137">
        <f t="shared" si="227"/>
        <v>6.9999999999999999E-6</v>
      </c>
      <c r="BN137">
        <f t="shared" si="228"/>
        <v>4.3475003145309159E-2</v>
      </c>
      <c r="BO137" s="147">
        <f t="shared" si="229"/>
        <v>42.782587684918099</v>
      </c>
      <c r="BP137" s="153">
        <f t="shared" si="230"/>
        <v>1.0800000000000002E-2</v>
      </c>
      <c r="BQ137" s="153">
        <f t="shared" si="231"/>
        <v>1.0800000000000002E-2</v>
      </c>
      <c r="BR137" s="463"/>
      <c r="BT137" s="147">
        <f t="shared" si="232"/>
        <v>21.600000000000005</v>
      </c>
      <c r="BU137" s="463">
        <f t="shared" si="233"/>
        <v>1.3692590571695723E-2</v>
      </c>
      <c r="BV137" s="463">
        <f t="shared" si="234"/>
        <v>2.0228382072681184E-2</v>
      </c>
      <c r="BW137" s="463">
        <f t="shared" si="235"/>
        <v>1.0140650648415666E-3</v>
      </c>
      <c r="BX137" s="463">
        <f t="shared" si="236"/>
        <v>0</v>
      </c>
      <c r="BY137" s="463">
        <f t="shared" si="180"/>
        <v>3.9236901645410716E-2</v>
      </c>
      <c r="BZ137" s="463">
        <f t="shared" si="250"/>
        <v>3.4935037709218471E-2</v>
      </c>
      <c r="CA137" s="549">
        <f t="shared" si="237"/>
        <v>1.7808510638297873E-2</v>
      </c>
      <c r="CB137" s="147">
        <f t="shared" si="238"/>
        <v>126.9154877021455</v>
      </c>
      <c r="CC137" s="153">
        <f t="shared" si="251"/>
        <v>0.12212041542901775</v>
      </c>
      <c r="CD137" s="5">
        <f t="shared" si="239"/>
        <v>0.83700000000000008</v>
      </c>
      <c r="CE137" s="153">
        <f t="shared" si="240"/>
        <v>0.87267457405294324</v>
      </c>
      <c r="CF137" s="5">
        <f t="shared" si="241"/>
        <v>87.267457405294323</v>
      </c>
      <c r="CG137">
        <f t="shared" si="242"/>
        <v>27</v>
      </c>
      <c r="CI137" s="59">
        <f t="shared" si="243"/>
        <v>-50</v>
      </c>
      <c r="CJ137">
        <f t="shared" si="244"/>
        <v>-50</v>
      </c>
    </row>
    <row r="138" spans="5:88" x14ac:dyDescent="0.25">
      <c r="E138" s="150">
        <v>28</v>
      </c>
      <c r="F138" s="191">
        <f t="shared" si="245"/>
        <v>2.8000000000000004E-2</v>
      </c>
      <c r="G138" s="191">
        <f t="shared" si="183"/>
        <v>2.8000000000000004E-2</v>
      </c>
      <c r="H138" s="191">
        <f t="shared" si="184"/>
        <v>0.42000000000000004</v>
      </c>
      <c r="I138" s="191">
        <f t="shared" si="185"/>
        <v>0.44800000000000006</v>
      </c>
      <c r="J138" s="472">
        <f t="shared" si="186"/>
        <v>13</v>
      </c>
      <c r="K138" s="386">
        <f t="shared" si="187"/>
        <v>15.32</v>
      </c>
      <c r="L138" s="386">
        <f t="shared" si="188"/>
        <v>28.32</v>
      </c>
      <c r="M138" s="386"/>
      <c r="N138" s="191">
        <f t="shared" si="189"/>
        <v>0.54096045197740117</v>
      </c>
      <c r="O138" s="152">
        <f t="shared" si="190"/>
        <v>1.1484503143794424</v>
      </c>
      <c r="P138" s="152">
        <f t="shared" si="191"/>
        <v>2.5316949152542376</v>
      </c>
      <c r="Q138" s="191">
        <f t="shared" si="192"/>
        <v>7.6563354291962829E-2</v>
      </c>
      <c r="R138" s="191">
        <f t="shared" si="193"/>
        <v>7.1778144648715153E-2</v>
      </c>
      <c r="S138" s="191">
        <f t="shared" si="194"/>
        <v>15</v>
      </c>
      <c r="T138" s="191">
        <f t="shared" si="195"/>
        <v>0.27428265381267991</v>
      </c>
      <c r="U138" s="191">
        <f t="shared" si="196"/>
        <v>0.99163728686122743</v>
      </c>
      <c r="V138" s="191">
        <f t="shared" si="197"/>
        <v>0.84146767161853497</v>
      </c>
      <c r="W138" s="175">
        <f t="shared" si="198"/>
        <v>350</v>
      </c>
      <c r="X138" s="386">
        <f t="shared" si="199"/>
        <v>350</v>
      </c>
      <c r="Z138" s="191">
        <f t="shared" si="200"/>
        <v>0.42750674016451157</v>
      </c>
      <c r="AA138" s="153">
        <f t="shared" si="201"/>
        <v>1.3115415657788541</v>
      </c>
      <c r="AB138" s="153">
        <f t="shared" si="202"/>
        <v>4.7478024382677106E-2</v>
      </c>
      <c r="AC138" s="153"/>
      <c r="AD138" s="153">
        <f t="shared" si="203"/>
        <v>0.46018276762402083</v>
      </c>
      <c r="AE138" s="317">
        <f t="shared" si="204"/>
        <v>811.27186761229348</v>
      </c>
      <c r="AF138" s="463">
        <f t="shared" si="205"/>
        <v>1.2079797650130546E-2</v>
      </c>
      <c r="AH138" s="153">
        <f t="shared" si="206"/>
        <v>0.32485676057859258</v>
      </c>
      <c r="AI138" s="153">
        <f t="shared" si="207"/>
        <v>0.32485676057859258</v>
      </c>
      <c r="AJ138" s="153">
        <f t="shared" si="208"/>
        <v>1.3295235263545129</v>
      </c>
      <c r="AL138" s="317">
        <f t="shared" si="209"/>
        <v>28.000000000000004</v>
      </c>
      <c r="AM138" s="147">
        <f t="shared" si="210"/>
        <v>350</v>
      </c>
      <c r="AO138" s="147">
        <f t="shared" si="211"/>
        <v>28.000000000000004</v>
      </c>
      <c r="AP138" s="147">
        <f t="shared" si="212"/>
        <v>350</v>
      </c>
      <c r="AR138" s="5">
        <f t="shared" si="249"/>
        <v>2.8571428571428572</v>
      </c>
      <c r="AS138" s="5">
        <f t="shared" si="246"/>
        <v>1.1744821343995271</v>
      </c>
      <c r="AT138" s="5">
        <f t="shared" si="247"/>
        <v>1.6826607227433301</v>
      </c>
      <c r="AU138" s="153">
        <f t="shared" si="248"/>
        <v>0.41106874703983448</v>
      </c>
      <c r="AW138" s="5">
        <f t="shared" si="216"/>
        <v>0.21923666508791176</v>
      </c>
      <c r="AX138" s="5"/>
      <c r="AY138" s="5">
        <f t="shared" si="217"/>
        <v>0.20553437351991724</v>
      </c>
      <c r="AZ138" s="5"/>
      <c r="BA138" s="5">
        <f t="shared" si="218"/>
        <v>8.0537607242415793E-2</v>
      </c>
      <c r="BB138" s="5"/>
      <c r="BC138" s="5"/>
      <c r="BD138" s="153">
        <f t="shared" si="219"/>
        <v>0.12025094875306057</v>
      </c>
      <c r="BE138" s="153">
        <f t="shared" si="220"/>
        <v>0.14393406229425965</v>
      </c>
      <c r="BF138" s="153">
        <f t="shared" si="221"/>
        <v>0.14412221139529788</v>
      </c>
      <c r="BG138" s="153"/>
      <c r="BH138" s="463">
        <f t="shared" si="222"/>
        <v>5.0611017366039195E-3</v>
      </c>
      <c r="BI138" s="463">
        <f t="shared" si="223"/>
        <v>1.609990105427505E-2</v>
      </c>
      <c r="BJ138" s="463">
        <f t="shared" si="224"/>
        <v>4.3749999999999995E-3</v>
      </c>
      <c r="BK138" s="463">
        <f t="shared" si="225"/>
        <v>1.4035392000000001E-2</v>
      </c>
      <c r="BL138">
        <f t="shared" si="226"/>
        <v>3.7699999999999999E-3</v>
      </c>
      <c r="BM138">
        <f t="shared" si="227"/>
        <v>6.9999999999999999E-6</v>
      </c>
      <c r="BN138">
        <f t="shared" si="228"/>
        <v>4.4072797525601816E-2</v>
      </c>
      <c r="BO138" s="147">
        <f t="shared" si="229"/>
        <v>43.341394790878972</v>
      </c>
      <c r="BP138" s="153">
        <f t="shared" si="230"/>
        <v>1.1200000000000002E-2</v>
      </c>
      <c r="BQ138" s="153">
        <f t="shared" si="231"/>
        <v>1.1200000000000002E-2</v>
      </c>
      <c r="BR138" s="463"/>
      <c r="BT138" s="147">
        <f t="shared" si="232"/>
        <v>22.400000000000002</v>
      </c>
      <c r="BU138" s="463">
        <f t="shared" si="233"/>
        <v>1.4460290676011199E-2</v>
      </c>
      <c r="BV138" s="463">
        <f t="shared" si="234"/>
        <v>2.0717014288527815E-2</v>
      </c>
      <c r="BW138" s="463">
        <f t="shared" si="235"/>
        <v>1.0385605908735465E-3</v>
      </c>
      <c r="BX138" s="463">
        <f t="shared" si="236"/>
        <v>0</v>
      </c>
      <c r="BY138" s="463">
        <f t="shared" si="180"/>
        <v>4.0679629260794298E-2</v>
      </c>
      <c r="BZ138" s="463">
        <f t="shared" si="250"/>
        <v>3.6215865555412556E-2</v>
      </c>
      <c r="CA138" s="549">
        <f t="shared" si="237"/>
        <v>1.8468085106382984E-2</v>
      </c>
      <c r="CB138" s="147">
        <f t="shared" si="238"/>
        <v>131.57944547800241</v>
      </c>
      <c r="CC138" s="153">
        <f t="shared" si="251"/>
        <v>0.12562051189277909</v>
      </c>
      <c r="CD138" s="5">
        <f t="shared" si="239"/>
        <v>0.8680000000000001</v>
      </c>
      <c r="CE138" s="153">
        <f t="shared" si="240"/>
        <v>0.87357294823404896</v>
      </c>
      <c r="CF138" s="5">
        <f t="shared" si="241"/>
        <v>87.357294823404899</v>
      </c>
      <c r="CG138">
        <f t="shared" si="242"/>
        <v>28.000000000000004</v>
      </c>
      <c r="CI138" s="59">
        <f t="shared" si="243"/>
        <v>-50</v>
      </c>
      <c r="CJ138">
        <f t="shared" si="244"/>
        <v>-50</v>
      </c>
    </row>
    <row r="139" spans="5:88" x14ac:dyDescent="0.25">
      <c r="E139" s="150">
        <v>29</v>
      </c>
      <c r="F139" s="191">
        <f t="shared" si="245"/>
        <v>2.8999999999999998E-2</v>
      </c>
      <c r="G139" s="191">
        <f t="shared" si="183"/>
        <v>2.8999999999999998E-2</v>
      </c>
      <c r="H139" s="191">
        <f t="shared" si="184"/>
        <v>0.43499999999999994</v>
      </c>
      <c r="I139" s="191">
        <f t="shared" si="185"/>
        <v>0.46399999999999997</v>
      </c>
      <c r="J139" s="472">
        <f t="shared" si="186"/>
        <v>13</v>
      </c>
      <c r="K139" s="386">
        <f t="shared" si="187"/>
        <v>15.32</v>
      </c>
      <c r="L139" s="386">
        <f t="shared" si="188"/>
        <v>28.32</v>
      </c>
      <c r="M139" s="386"/>
      <c r="N139" s="191">
        <f t="shared" si="189"/>
        <v>0.54096045197740117</v>
      </c>
      <c r="O139" s="152">
        <f t="shared" si="190"/>
        <v>1.1484503143794424</v>
      </c>
      <c r="P139" s="152">
        <f t="shared" si="191"/>
        <v>2.5316949152542376</v>
      </c>
      <c r="Q139" s="191">
        <f t="shared" si="192"/>
        <v>7.6563354291962829E-2</v>
      </c>
      <c r="R139" s="191">
        <f t="shared" si="193"/>
        <v>7.1778144648715153E-2</v>
      </c>
      <c r="S139" s="191">
        <f t="shared" si="194"/>
        <v>15</v>
      </c>
      <c r="T139" s="191">
        <f t="shared" si="195"/>
        <v>0.28407846287741839</v>
      </c>
      <c r="U139" s="191">
        <f t="shared" si="196"/>
        <v>1.0270529042491279</v>
      </c>
      <c r="V139" s="191">
        <f t="shared" si="197"/>
        <v>0.87152008846205375</v>
      </c>
      <c r="W139" s="175">
        <f t="shared" si="198"/>
        <v>350</v>
      </c>
      <c r="X139" s="386">
        <f t="shared" si="199"/>
        <v>350</v>
      </c>
      <c r="Z139" s="191">
        <f t="shared" si="200"/>
        <v>0.42750674016451157</v>
      </c>
      <c r="AA139" s="153">
        <f t="shared" si="201"/>
        <v>1.3115415657788541</v>
      </c>
      <c r="AB139" s="153">
        <f t="shared" si="202"/>
        <v>4.7478024382677106E-2</v>
      </c>
      <c r="AC139" s="153"/>
      <c r="AD139" s="153">
        <f t="shared" si="203"/>
        <v>0.46018276762402083</v>
      </c>
      <c r="AE139" s="317">
        <f t="shared" si="204"/>
        <v>840.24586288416094</v>
      </c>
      <c r="AF139" s="463">
        <f t="shared" si="205"/>
        <v>1.2079797650130546E-2</v>
      </c>
      <c r="AH139" s="153">
        <f t="shared" si="206"/>
        <v>0.33060688416018102</v>
      </c>
      <c r="AI139" s="153">
        <f t="shared" si="207"/>
        <v>0.33060688416018102</v>
      </c>
      <c r="AJ139" s="153">
        <f t="shared" si="208"/>
        <v>1.3337828771556897</v>
      </c>
      <c r="AL139" s="317">
        <f t="shared" si="209"/>
        <v>28.999999999999996</v>
      </c>
      <c r="AM139" s="147">
        <f t="shared" si="210"/>
        <v>350</v>
      </c>
      <c r="AO139" s="147">
        <f t="shared" si="211"/>
        <v>28.999999999999996</v>
      </c>
      <c r="AP139" s="147">
        <f t="shared" si="212"/>
        <v>350</v>
      </c>
      <c r="AR139" s="5">
        <f t="shared" si="249"/>
        <v>2.8571428571428572</v>
      </c>
      <c r="AS139" s="5">
        <f t="shared" si="246"/>
        <v>1.195271042732962</v>
      </c>
      <c r="AT139" s="5">
        <f t="shared" si="247"/>
        <v>1.6618718144098952</v>
      </c>
      <c r="AU139" s="153">
        <f t="shared" si="248"/>
        <v>0.41834486495653672</v>
      </c>
      <c r="AW139" s="5">
        <f t="shared" si="216"/>
        <v>0.23108573492837264</v>
      </c>
      <c r="AX139" s="5"/>
      <c r="AY139" s="5">
        <f t="shared" si="217"/>
        <v>0.21664287649534936</v>
      </c>
      <c r="AZ139" s="5"/>
      <c r="BA139" s="5">
        <f t="shared" si="218"/>
        <v>8.2383389090405046E-2</v>
      </c>
      <c r="BB139" s="5"/>
      <c r="BC139" s="5"/>
      <c r="BD139" s="153">
        <f t="shared" si="219"/>
        <v>0.12345778659016907</v>
      </c>
      <c r="BE139" s="153">
        <f t="shared" si="220"/>
        <v>0.14557407810100462</v>
      </c>
      <c r="BF139" s="153">
        <f t="shared" si="221"/>
        <v>0.14576437101355494</v>
      </c>
      <c r="BG139" s="153"/>
      <c r="BH139" s="463">
        <f t="shared" si="222"/>
        <v>5.334638774410305E-3</v>
      </c>
      <c r="BI139" s="463">
        <f t="shared" si="223"/>
        <v>1.6384877178978574E-2</v>
      </c>
      <c r="BJ139" s="463">
        <f t="shared" si="224"/>
        <v>4.3749999999999995E-3</v>
      </c>
      <c r="BK139" s="463">
        <f t="shared" si="225"/>
        <v>1.4035392000000001E-2</v>
      </c>
      <c r="BL139">
        <f t="shared" si="226"/>
        <v>3.7699999999999999E-3</v>
      </c>
      <c r="BM139">
        <f t="shared" si="227"/>
        <v>6.9999999999999999E-6</v>
      </c>
      <c r="BN139">
        <f t="shared" si="228"/>
        <v>4.4671051261571622E-2</v>
      </c>
      <c r="BO139" s="147">
        <f t="shared" si="229"/>
        <v>43.899907953388883</v>
      </c>
      <c r="BP139" s="153">
        <f t="shared" si="230"/>
        <v>1.1599999999999999E-2</v>
      </c>
      <c r="BQ139" s="153">
        <f t="shared" si="231"/>
        <v>1.1599999999999999E-2</v>
      </c>
      <c r="BR139" s="463"/>
      <c r="BT139" s="147">
        <f t="shared" si="232"/>
        <v>23.2</v>
      </c>
      <c r="BU139" s="463">
        <f t="shared" si="233"/>
        <v>1.5241825069743729E-2</v>
      </c>
      <c r="BV139" s="463">
        <f t="shared" si="234"/>
        <v>2.1191812214957393E-2</v>
      </c>
      <c r="BW139" s="463">
        <f t="shared" si="235"/>
        <v>1.0623625928488649E-3</v>
      </c>
      <c r="BX139" s="463">
        <f t="shared" si="236"/>
        <v>0</v>
      </c>
      <c r="BY139" s="463">
        <f t="shared" si="180"/>
        <v>4.2121871999442652E-2</v>
      </c>
      <c r="BZ139" s="463">
        <f t="shared" si="250"/>
        <v>3.7495999877549986E-2</v>
      </c>
      <c r="CA139" s="549">
        <f t="shared" si="237"/>
        <v>1.9127659574468089E-2</v>
      </c>
      <c r="CB139" s="147">
        <f t="shared" si="238"/>
        <v>136.24153132901074</v>
      </c>
      <c r="CC139" s="153">
        <f t="shared" si="251"/>
        <v>0.12912058283548233</v>
      </c>
      <c r="CD139" s="5">
        <f t="shared" si="239"/>
        <v>0.89899999999999991</v>
      </c>
      <c r="CE139" s="153">
        <f t="shared" si="240"/>
        <v>0.87441105159146104</v>
      </c>
      <c r="CF139" s="5">
        <f t="shared" si="241"/>
        <v>87.441105159146105</v>
      </c>
      <c r="CG139">
        <f t="shared" si="242"/>
        <v>28.999999999999996</v>
      </c>
      <c r="CI139" s="59">
        <f t="shared" si="243"/>
        <v>-50</v>
      </c>
      <c r="CJ139">
        <f t="shared" si="244"/>
        <v>-50</v>
      </c>
    </row>
    <row r="140" spans="5:88" x14ac:dyDescent="0.25">
      <c r="E140" s="150">
        <v>30</v>
      </c>
      <c r="F140" s="191">
        <f t="shared" si="245"/>
        <v>0.03</v>
      </c>
      <c r="G140" s="191">
        <f t="shared" si="183"/>
        <v>0.03</v>
      </c>
      <c r="H140" s="191">
        <f t="shared" si="184"/>
        <v>0.44999999999999996</v>
      </c>
      <c r="I140" s="191">
        <f t="shared" si="185"/>
        <v>0.48</v>
      </c>
      <c r="J140" s="472">
        <f t="shared" si="186"/>
        <v>13</v>
      </c>
      <c r="K140" s="386">
        <f t="shared" si="187"/>
        <v>15.32</v>
      </c>
      <c r="L140" s="386">
        <f t="shared" si="188"/>
        <v>28.32</v>
      </c>
      <c r="M140" s="386"/>
      <c r="N140" s="191">
        <f t="shared" si="189"/>
        <v>0.54096045197740117</v>
      </c>
      <c r="O140" s="152">
        <f t="shared" si="190"/>
        <v>1.1484503143794424</v>
      </c>
      <c r="P140" s="152">
        <f t="shared" si="191"/>
        <v>2.5316949152542376</v>
      </c>
      <c r="Q140" s="191">
        <f t="shared" si="192"/>
        <v>7.6563354291962829E-2</v>
      </c>
      <c r="R140" s="191">
        <f t="shared" si="193"/>
        <v>7.1778144648715153E-2</v>
      </c>
      <c r="S140" s="191">
        <f t="shared" si="194"/>
        <v>15</v>
      </c>
      <c r="T140" s="191">
        <f t="shared" si="195"/>
        <v>0.29387427194215698</v>
      </c>
      <c r="U140" s="191">
        <f t="shared" si="196"/>
        <v>1.0624685216370291</v>
      </c>
      <c r="V140" s="191">
        <f t="shared" si="197"/>
        <v>0.90157250530557298</v>
      </c>
      <c r="W140" s="175">
        <f t="shared" si="198"/>
        <v>350</v>
      </c>
      <c r="X140" s="386">
        <f t="shared" si="199"/>
        <v>350</v>
      </c>
      <c r="Z140" s="191">
        <f t="shared" si="200"/>
        <v>0.42750674016451157</v>
      </c>
      <c r="AA140" s="153">
        <f t="shared" si="201"/>
        <v>1.3115415657788541</v>
      </c>
      <c r="AB140" s="153">
        <f t="shared" si="202"/>
        <v>4.7478024382677106E-2</v>
      </c>
      <c r="AC140" s="153"/>
      <c r="AD140" s="153">
        <f t="shared" si="203"/>
        <v>0.46018276762402083</v>
      </c>
      <c r="AE140" s="317">
        <f t="shared" si="204"/>
        <v>869.21985815602841</v>
      </c>
      <c r="AF140" s="463">
        <f t="shared" si="205"/>
        <v>1.2079797650130546E-2</v>
      </c>
      <c r="AH140" s="153">
        <f t="shared" si="206"/>
        <v>0.33625869329221758</v>
      </c>
      <c r="AI140" s="153">
        <f t="shared" si="207"/>
        <v>0.33625869329221758</v>
      </c>
      <c r="AJ140" s="153">
        <f t="shared" si="208"/>
        <v>1.3379694024386797</v>
      </c>
      <c r="AL140" s="317">
        <f t="shared" si="209"/>
        <v>30</v>
      </c>
      <c r="AM140" s="147">
        <f t="shared" si="210"/>
        <v>350</v>
      </c>
      <c r="AO140" s="147">
        <f t="shared" si="211"/>
        <v>30</v>
      </c>
      <c r="AP140" s="147">
        <f t="shared" si="212"/>
        <v>350</v>
      </c>
      <c r="AR140" s="5">
        <f t="shared" si="249"/>
        <v>2.8571428571428572</v>
      </c>
      <c r="AS140" s="5">
        <f t="shared" si="246"/>
        <v>1.2157045065180172</v>
      </c>
      <c r="AT140" s="5">
        <f t="shared" si="247"/>
        <v>1.64143835062484</v>
      </c>
      <c r="AU140" s="153">
        <f t="shared" si="248"/>
        <v>0.42549657728130602</v>
      </c>
      <c r="AW140" s="5">
        <f t="shared" si="216"/>
        <v>0.24314090130360344</v>
      </c>
      <c r="AX140" s="5"/>
      <c r="AY140" s="5">
        <f t="shared" si="217"/>
        <v>0.22794459497212824</v>
      </c>
      <c r="AZ140" s="5"/>
      <c r="BA140" s="5">
        <f t="shared" si="218"/>
        <v>8.4176325673068708E-2</v>
      </c>
      <c r="BB140" s="5"/>
      <c r="BC140" s="5"/>
      <c r="BD140" s="153">
        <f t="shared" si="219"/>
        <v>0.12663709197824213</v>
      </c>
      <c r="BE140" s="153">
        <f t="shared" si="220"/>
        <v>0.14714963995931984</v>
      </c>
      <c r="BF140" s="153">
        <f t="shared" si="221"/>
        <v>0.14734199242985491</v>
      </c>
      <c r="BG140" s="153"/>
      <c r="BH140" s="463">
        <f t="shared" si="222"/>
        <v>5.6129335726470145E-3</v>
      </c>
      <c r="BI140" s="463">
        <f t="shared" si="223"/>
        <v>1.6664980839562301E-2</v>
      </c>
      <c r="BJ140" s="463">
        <f t="shared" si="224"/>
        <v>4.3749999999999995E-3</v>
      </c>
      <c r="BK140" s="463">
        <f t="shared" si="225"/>
        <v>1.4035392000000001E-2</v>
      </c>
      <c r="BL140">
        <f t="shared" si="226"/>
        <v>3.7699999999999999E-3</v>
      </c>
      <c r="BM140">
        <f t="shared" si="227"/>
        <v>6.9999999999999999E-6</v>
      </c>
      <c r="BN140">
        <f t="shared" si="228"/>
        <v>4.5269933364782973E-2</v>
      </c>
      <c r="BO140" s="147">
        <f t="shared" si="229"/>
        <v>44.458306412209318</v>
      </c>
      <c r="BP140" s="153">
        <f t="shared" si="230"/>
        <v>1.2E-2</v>
      </c>
      <c r="BQ140" s="153">
        <f t="shared" si="231"/>
        <v>1.2E-2</v>
      </c>
      <c r="BR140" s="463"/>
      <c r="BT140" s="147">
        <f t="shared" si="232"/>
        <v>24</v>
      </c>
      <c r="BU140" s="463">
        <f t="shared" si="233"/>
        <v>1.6036953064705758E-2</v>
      </c>
      <c r="BV140" s="463">
        <f t="shared" si="234"/>
        <v>2.1653016540157461E-2</v>
      </c>
      <c r="BW140" s="463">
        <f t="shared" si="235"/>
        <v>1.085483136659971E-3</v>
      </c>
      <c r="BX140" s="463">
        <f t="shared" si="236"/>
        <v>0</v>
      </c>
      <c r="BY140" s="463">
        <f t="shared" si="180"/>
        <v>4.35636430691521E-2</v>
      </c>
      <c r="BZ140" s="463">
        <f t="shared" si="250"/>
        <v>3.8775452741523192E-2</v>
      </c>
      <c r="CA140" s="549">
        <f t="shared" si="237"/>
        <v>1.9787234042553191E-2</v>
      </c>
      <c r="CB140" s="147">
        <f t="shared" si="238"/>
        <v>140.90178259475167</v>
      </c>
      <c r="CC140" s="153">
        <f t="shared" si="251"/>
        <v>0.13262081047648827</v>
      </c>
      <c r="CD140" s="5">
        <f t="shared" si="239"/>
        <v>0.92999999999999994</v>
      </c>
      <c r="CE140" s="153">
        <f t="shared" si="240"/>
        <v>0.87519460453911113</v>
      </c>
      <c r="CF140" s="5">
        <f t="shared" si="241"/>
        <v>87.519460453911108</v>
      </c>
      <c r="CG140">
        <f t="shared" si="242"/>
        <v>30</v>
      </c>
      <c r="CI140" s="59">
        <f t="shared" si="243"/>
        <v>-50</v>
      </c>
      <c r="CJ140">
        <f t="shared" si="244"/>
        <v>-50</v>
      </c>
    </row>
    <row r="141" spans="5:88" x14ac:dyDescent="0.25">
      <c r="E141" s="150">
        <v>31</v>
      </c>
      <c r="F141" s="191">
        <f t="shared" si="245"/>
        <v>3.1E-2</v>
      </c>
      <c r="G141" s="191">
        <f t="shared" si="183"/>
        <v>3.1E-2</v>
      </c>
      <c r="H141" s="191">
        <f t="shared" si="184"/>
        <v>0.46499999999999997</v>
      </c>
      <c r="I141" s="191">
        <f t="shared" si="185"/>
        <v>0.496</v>
      </c>
      <c r="J141" s="472">
        <f t="shared" si="186"/>
        <v>13</v>
      </c>
      <c r="K141" s="386">
        <f t="shared" si="187"/>
        <v>15.32</v>
      </c>
      <c r="L141" s="386">
        <f t="shared" si="188"/>
        <v>28.32</v>
      </c>
      <c r="M141" s="386"/>
      <c r="N141" s="191">
        <f t="shared" si="189"/>
        <v>0.54096045197740117</v>
      </c>
      <c r="O141" s="152">
        <f t="shared" si="190"/>
        <v>1.1484503143794424</v>
      </c>
      <c r="P141" s="152">
        <f t="shared" si="191"/>
        <v>2.5316949152542376</v>
      </c>
      <c r="Q141" s="191">
        <f t="shared" si="192"/>
        <v>7.6563354291962829E-2</v>
      </c>
      <c r="R141" s="191">
        <f t="shared" si="193"/>
        <v>7.1778144648715153E-2</v>
      </c>
      <c r="S141" s="191">
        <f t="shared" si="194"/>
        <v>15</v>
      </c>
      <c r="T141" s="191">
        <f t="shared" si="195"/>
        <v>0.30367008100689558</v>
      </c>
      <c r="U141" s="191">
        <f t="shared" si="196"/>
        <v>1.0978841390249301</v>
      </c>
      <c r="V141" s="191">
        <f t="shared" si="197"/>
        <v>0.93162492214909221</v>
      </c>
      <c r="W141" s="175">
        <f t="shared" si="198"/>
        <v>350</v>
      </c>
      <c r="X141" s="386">
        <f t="shared" si="199"/>
        <v>350</v>
      </c>
      <c r="Z141" s="191">
        <f t="shared" si="200"/>
        <v>0.42750674016451157</v>
      </c>
      <c r="AA141" s="153">
        <f t="shared" si="201"/>
        <v>1.3115415657788541</v>
      </c>
      <c r="AB141" s="153">
        <f t="shared" si="202"/>
        <v>4.7478024382677106E-2</v>
      </c>
      <c r="AC141" s="153"/>
      <c r="AD141" s="153">
        <f t="shared" si="203"/>
        <v>0.46018276762402083</v>
      </c>
      <c r="AE141" s="317">
        <f t="shared" si="204"/>
        <v>898.19385342789622</v>
      </c>
      <c r="AF141" s="463">
        <f t="shared" si="205"/>
        <v>1.2079797650130546E-2</v>
      </c>
      <c r="AH141" s="153">
        <f t="shared" si="206"/>
        <v>0.34181706478038215</v>
      </c>
      <c r="AI141" s="153">
        <f t="shared" si="207"/>
        <v>0.34181706478038215</v>
      </c>
      <c r="AJ141" s="153">
        <f t="shared" si="208"/>
        <v>1.3420867146521349</v>
      </c>
      <c r="AL141" s="317">
        <f t="shared" si="209"/>
        <v>31</v>
      </c>
      <c r="AM141" s="147">
        <f t="shared" si="210"/>
        <v>350</v>
      </c>
      <c r="AO141" s="147">
        <f t="shared" si="211"/>
        <v>31</v>
      </c>
      <c r="AP141" s="147">
        <f t="shared" si="212"/>
        <v>350</v>
      </c>
      <c r="AR141" s="5">
        <f t="shared" si="249"/>
        <v>2.8571428571428572</v>
      </c>
      <c r="AS141" s="5">
        <f t="shared" si="246"/>
        <v>1.2358001572829203</v>
      </c>
      <c r="AT141" s="5">
        <f t="shared" si="247"/>
        <v>1.621342699859937</v>
      </c>
      <c r="AU141" s="153">
        <f t="shared" si="248"/>
        <v>0.43253005504902209</v>
      </c>
      <c r="AW141" s="5">
        <f t="shared" si="216"/>
        <v>0.25539869917180352</v>
      </c>
      <c r="AX141" s="5"/>
      <c r="AY141" s="5">
        <f t="shared" si="217"/>
        <v>0.2394362804735658</v>
      </c>
      <c r="AZ141" s="5"/>
      <c r="BA141" s="5">
        <f t="shared" si="218"/>
        <v>8.591730546266331E-2</v>
      </c>
      <c r="BB141" s="5"/>
      <c r="BC141" s="5"/>
      <c r="BD141" s="153">
        <f t="shared" si="219"/>
        <v>0.12979000776480074</v>
      </c>
      <c r="BE141" s="153">
        <f t="shared" si="220"/>
        <v>0.14866356584394944</v>
      </c>
      <c r="BF141" s="153">
        <f t="shared" si="221"/>
        <v>0.14885789730256899</v>
      </c>
      <c r="BG141" s="153"/>
      <c r="BH141" s="463">
        <f t="shared" si="222"/>
        <v>5.8959061404554626E-3</v>
      </c>
      <c r="BI141" s="463">
        <f t="shared" si="223"/>
        <v>1.6940453730515739E-2</v>
      </c>
      <c r="BJ141" s="463">
        <f t="shared" si="224"/>
        <v>4.3749999999999995E-3</v>
      </c>
      <c r="BK141" s="463">
        <f t="shared" si="225"/>
        <v>1.4035392000000001E-2</v>
      </c>
      <c r="BL141">
        <f t="shared" si="226"/>
        <v>3.7699999999999999E-3</v>
      </c>
      <c r="BM141">
        <f t="shared" si="227"/>
        <v>6.9999999999999999E-6</v>
      </c>
      <c r="BN141">
        <f t="shared" si="228"/>
        <v>4.5869595902462798E-2</v>
      </c>
      <c r="BO141" s="147">
        <f t="shared" si="229"/>
        <v>45.016751870971206</v>
      </c>
      <c r="BP141" s="153">
        <f t="shared" si="230"/>
        <v>1.2400000000000001E-2</v>
      </c>
      <c r="BQ141" s="153">
        <f t="shared" si="231"/>
        <v>1.2400000000000001E-2</v>
      </c>
      <c r="BR141" s="463"/>
      <c r="BT141" s="147">
        <f t="shared" si="232"/>
        <v>24.800000000000004</v>
      </c>
      <c r="BU141" s="463">
        <f t="shared" si="233"/>
        <v>1.6845446115587037E-2</v>
      </c>
      <c r="BV141" s="463">
        <f t="shared" si="234"/>
        <v>2.210085580943829E-2</v>
      </c>
      <c r="BW141" s="463">
        <f t="shared" si="235"/>
        <v>1.1079336794671088E-3</v>
      </c>
      <c r="BX141" s="463">
        <f t="shared" si="236"/>
        <v>0</v>
      </c>
      <c r="BY141" s="463">
        <f t="shared" si="180"/>
        <v>4.500495500271539E-2</v>
      </c>
      <c r="BZ141" s="463">
        <f t="shared" si="250"/>
        <v>4.0054235604492429E-2</v>
      </c>
      <c r="CA141" s="549">
        <f t="shared" si="237"/>
        <v>2.0446808510638299E-2</v>
      </c>
      <c r="CB141" s="147">
        <f t="shared" si="238"/>
        <v>145.56023472233852</v>
      </c>
      <c r="CC141" s="153">
        <f t="shared" si="251"/>
        <v>0.13612135941581649</v>
      </c>
      <c r="CD141" s="5">
        <f t="shared" si="239"/>
        <v>0.96099999999999997</v>
      </c>
      <c r="CE141" s="153">
        <f t="shared" si="240"/>
        <v>0.87592862152615736</v>
      </c>
      <c r="CF141" s="5">
        <f t="shared" si="241"/>
        <v>87.592862152615737</v>
      </c>
      <c r="CG141">
        <f t="shared" si="242"/>
        <v>31</v>
      </c>
      <c r="CI141" s="59">
        <f t="shared" si="243"/>
        <v>-50</v>
      </c>
      <c r="CJ141">
        <f t="shared" si="244"/>
        <v>-50</v>
      </c>
    </row>
    <row r="142" spans="5:88" x14ac:dyDescent="0.25">
      <c r="E142" s="150">
        <v>32</v>
      </c>
      <c r="F142" s="191">
        <f t="shared" si="245"/>
        <v>3.2000000000000001E-2</v>
      </c>
      <c r="G142" s="191">
        <f t="shared" ref="G142:G173" si="252">IF(PLOT_TYPE=1, E142/100*Iout2, min_I*EXP(Q142*rr/100))</f>
        <v>3.2000000000000001E-2</v>
      </c>
      <c r="H142" s="191">
        <f t="shared" ref="H142:H173" si="253">F142*Vout</f>
        <v>0.48</v>
      </c>
      <c r="I142" s="191">
        <f t="shared" ref="I142:I173" si="254">Vout2*G142</f>
        <v>0.51200000000000001</v>
      </c>
      <c r="J142" s="472">
        <f t="shared" si="186"/>
        <v>13</v>
      </c>
      <c r="K142" s="386">
        <f t="shared" si="187"/>
        <v>15.32</v>
      </c>
      <c r="L142" s="386">
        <f t="shared" si="188"/>
        <v>28.32</v>
      </c>
      <c r="M142" s="386"/>
      <c r="N142" s="191">
        <f t="shared" si="189"/>
        <v>0.54096045197740117</v>
      </c>
      <c r="O142" s="152">
        <f t="shared" ref="O142:O173" si="255">N142*J142*Isw_max*0.5*Efficiency*Pout/(Pout+Pout2)</f>
        <v>1.1484503143794424</v>
      </c>
      <c r="P142" s="152">
        <f t="shared" ref="P142:P173" si="256">N142*J142*Isw_max*0.5*Efficiency*(Pout2/Pout_total)</f>
        <v>2.5316949152542376</v>
      </c>
      <c r="Q142" s="191">
        <f t="shared" si="192"/>
        <v>7.6563354291962829E-2</v>
      </c>
      <c r="R142" s="191">
        <f t="shared" ref="R142:R173" si="257">O142/Vout2</f>
        <v>7.1778144648715153E-2</v>
      </c>
      <c r="S142" s="191">
        <f t="shared" ref="S142:S173" si="258">MIN(Vout,O142/F142)</f>
        <v>15</v>
      </c>
      <c r="T142" s="191">
        <f t="shared" ref="T142:T173" si="259">MIN(2*(Vout*F142+Vout2*G142)/(Efficiency*J142*N142), Isw_max)</f>
        <v>0.31346589007163411</v>
      </c>
      <c r="U142" s="191">
        <f t="shared" si="196"/>
        <v>1.1332997564128309</v>
      </c>
      <c r="V142" s="191">
        <f t="shared" si="197"/>
        <v>0.96167733899261099</v>
      </c>
      <c r="W142" s="175">
        <f t="shared" si="198"/>
        <v>350</v>
      </c>
      <c r="X142" s="386">
        <f t="shared" si="199"/>
        <v>350</v>
      </c>
      <c r="Z142" s="191">
        <f t="shared" si="200"/>
        <v>0.42750674016451157</v>
      </c>
      <c r="AA142" s="153">
        <f t="shared" si="201"/>
        <v>1.3115415657788541</v>
      </c>
      <c r="AB142" s="153">
        <f t="shared" ref="AB142:AB173" si="260">0.5*AA142*Z142*Nps*W142/1000*(Pout/(Pout+Pout2))</f>
        <v>4.7478024382677106E-2</v>
      </c>
      <c r="AC142" s="153"/>
      <c r="AD142" s="153">
        <f t="shared" si="203"/>
        <v>0.46018276762402083</v>
      </c>
      <c r="AE142" s="317">
        <f t="shared" ref="AE142:AE173" si="261">MAX(10, F142/(0.5*AD142/1000000*Isw_min*Nps)/1000*Pout_total/Pout)</f>
        <v>927.16784869976391</v>
      </c>
      <c r="AF142" s="463">
        <f t="shared" ref="AF142:AF173" si="262">0.5*AD142/1000000*Isw_min*Nps*W142*1000*(Pout/Pout_total)</f>
        <v>1.2079797650130546E-2</v>
      </c>
      <c r="AH142" s="153">
        <f t="shared" ref="AH142:AH173" si="263">SQRT((H142+I142)/(0.5*L*Fsw_DCM))</f>
        <v>0.34728648510352705</v>
      </c>
      <c r="AI142" s="153">
        <f t="shared" ref="AI142:AI173" si="264">MAX(IF(F142&gt;AB142,T142,AH142),Isw_min)</f>
        <v>0.34728648510352705</v>
      </c>
      <c r="AJ142" s="153">
        <f t="shared" ref="AJ142:AJ173" si="265">IF(F142&gt;AF142, (AI142-Isw_min)/1.08*0.8+1.2, AE142*0.2/350+1)</f>
        <v>1.3461381371137238</v>
      </c>
      <c r="AL142" s="317">
        <f t="shared" ref="AL142:AL173" si="266">F142*1000</f>
        <v>32</v>
      </c>
      <c r="AM142" s="147">
        <f t="shared" ref="AM142:AM173" si="267">IF(F142&gt;AF142, X142, AE142)</f>
        <v>350</v>
      </c>
      <c r="AO142" s="147">
        <f t="shared" si="211"/>
        <v>32</v>
      </c>
      <c r="AP142" s="147">
        <f t="shared" si="212"/>
        <v>350</v>
      </c>
      <c r="AR142" s="5">
        <f t="shared" si="249"/>
        <v>2.8571428571428572</v>
      </c>
      <c r="AS142" s="5">
        <f t="shared" si="246"/>
        <v>1.2555742153742901</v>
      </c>
      <c r="AT142" s="5">
        <f t="shared" si="247"/>
        <v>1.6015686417685671</v>
      </c>
      <c r="AU142" s="153">
        <f t="shared" si="248"/>
        <v>0.43945097538100153</v>
      </c>
      <c r="AW142" s="5">
        <f t="shared" si="216"/>
        <v>0.26785583261318191</v>
      </c>
      <c r="AX142" s="5"/>
      <c r="AY142" s="5">
        <f t="shared" si="217"/>
        <v>0.25111484307485804</v>
      </c>
      <c r="AZ142" s="5"/>
      <c r="BA142" s="5">
        <f t="shared" si="218"/>
        <v>8.7607173566827609E-2</v>
      </c>
      <c r="BB142" s="5"/>
      <c r="BC142" s="5"/>
      <c r="BD142" s="153">
        <f t="shared" si="219"/>
        <v>0.1329175941398778</v>
      </c>
      <c r="BE142" s="153">
        <f t="shared" si="220"/>
        <v>0.15011844461375878</v>
      </c>
      <c r="BF142" s="153">
        <f t="shared" si="221"/>
        <v>0.1503146778746918</v>
      </c>
      <c r="BG142" s="153"/>
      <c r="BH142" s="463">
        <f t="shared" si="222"/>
        <v>6.1834803911766465E-3</v>
      </c>
      <c r="BI142" s="463">
        <f t="shared" si="223"/>
        <v>1.7211518201730801E-2</v>
      </c>
      <c r="BJ142" s="463">
        <f t="shared" si="224"/>
        <v>4.3749999999999995E-3</v>
      </c>
      <c r="BK142" s="463">
        <f t="shared" si="225"/>
        <v>1.4035392000000001E-2</v>
      </c>
      <c r="BL142">
        <f t="shared" si="226"/>
        <v>3.7699999999999999E-3</v>
      </c>
      <c r="BM142">
        <f t="shared" ref="BM142:BM173" si="268">(J142-Vdd)*Qg*AM142</f>
        <v>6.9999999999999999E-6</v>
      </c>
      <c r="BN142">
        <f t="shared" ref="BN142:BN173" si="269">(BI142+BJ142+BK142+BL142+BM142+BH142*(1+RdsonTC*(Ta-25)))/(1-BH142*RdsonTC*ThetaJA)</f>
        <v>4.647017604513981E-2</v>
      </c>
      <c r="BO142" s="147">
        <f t="shared" si="229"/>
        <v>45.575390592907446</v>
      </c>
      <c r="BP142" s="153">
        <f t="shared" si="230"/>
        <v>1.2800000000000001E-2</v>
      </c>
      <c r="BQ142" s="153">
        <f t="shared" si="231"/>
        <v>1.2800000000000001E-2</v>
      </c>
      <c r="BR142" s="463"/>
      <c r="BT142" s="147">
        <f t="shared" si="232"/>
        <v>25.6</v>
      </c>
      <c r="BU142" s="463">
        <f t="shared" si="233"/>
        <v>1.7667086831933278E-2</v>
      </c>
      <c r="BV142" s="463">
        <f t="shared" si="234"/>
        <v>2.2535547413254163E-2</v>
      </c>
      <c r="BW142" s="463">
        <f t="shared" si="235"/>
        <v>1.1297251192286179E-3</v>
      </c>
      <c r="BX142" s="463">
        <f t="shared" si="236"/>
        <v>0</v>
      </c>
      <c r="BY142" s="463">
        <f t="shared" si="180"/>
        <v>4.6445819713054379E-2</v>
      </c>
      <c r="BZ142" s="463">
        <f t="shared" si="250"/>
        <v>4.1332359364416059E-2</v>
      </c>
      <c r="CA142" s="549">
        <f t="shared" ref="CA142:CA173" si="270">0.5*Lleak*0.000000001*AI142^2*AM142*1000</f>
        <v>2.1106382978723408E-2</v>
      </c>
      <c r="CB142" s="147">
        <f t="shared" si="238"/>
        <v>150.21692142060991</v>
      </c>
      <c r="CC142" s="153">
        <f t="shared" si="251"/>
        <v>0.1396223787369176</v>
      </c>
      <c r="CD142" s="5">
        <f t="shared" si="239"/>
        <v>0.99199999999999999</v>
      </c>
      <c r="CE142" s="153">
        <f t="shared" si="240"/>
        <v>0.87661751715023539</v>
      </c>
      <c r="CF142" s="5">
        <f t="shared" si="241"/>
        <v>87.661751715023541</v>
      </c>
      <c r="CG142">
        <f t="shared" si="242"/>
        <v>32</v>
      </c>
      <c r="CI142" s="59">
        <f t="shared" ref="CI142:CI173" si="271">IF(ABS(F142-Ioutmax_Vinmin)&lt;Iout/200, AM142, -50)</f>
        <v>-50</v>
      </c>
      <c r="CJ142">
        <f t="shared" ref="CJ142:CJ173" si="272">IF(ABS(F142-Ioutmax_Vinmin)&lt;Iout/200, (O142+P142)*CE142, -50)</f>
        <v>-50</v>
      </c>
    </row>
    <row r="143" spans="5:88" x14ac:dyDescent="0.25">
      <c r="E143" s="150">
        <v>33</v>
      </c>
      <c r="F143" s="191">
        <f t="shared" ref="F143:F174" si="273">IF(PLOT_TYPE=1, E143/100*Iout_max, min_I*EXP(O143*rr/100))</f>
        <v>3.3000000000000002E-2</v>
      </c>
      <c r="G143" s="191">
        <f t="shared" si="252"/>
        <v>3.3000000000000002E-2</v>
      </c>
      <c r="H143" s="191">
        <f t="shared" si="253"/>
        <v>0.495</v>
      </c>
      <c r="I143" s="191">
        <f t="shared" si="254"/>
        <v>0.52800000000000002</v>
      </c>
      <c r="J143" s="472">
        <f t="shared" si="186"/>
        <v>13</v>
      </c>
      <c r="K143" s="386">
        <f t="shared" si="187"/>
        <v>15.32</v>
      </c>
      <c r="L143" s="386">
        <f t="shared" si="188"/>
        <v>28.32</v>
      </c>
      <c r="M143" s="386"/>
      <c r="N143" s="191">
        <f t="shared" si="189"/>
        <v>0.54096045197740117</v>
      </c>
      <c r="O143" s="152">
        <f t="shared" si="255"/>
        <v>1.1484503143794424</v>
      </c>
      <c r="P143" s="152">
        <f t="shared" si="256"/>
        <v>2.5316949152542376</v>
      </c>
      <c r="Q143" s="191">
        <f t="shared" si="192"/>
        <v>7.6563354291962829E-2</v>
      </c>
      <c r="R143" s="191">
        <f t="shared" si="257"/>
        <v>7.1778144648715153E-2</v>
      </c>
      <c r="S143" s="191">
        <f t="shared" si="258"/>
        <v>15</v>
      </c>
      <c r="T143" s="191">
        <f t="shared" si="259"/>
        <v>0.32326169913637276</v>
      </c>
      <c r="U143" s="191">
        <f t="shared" si="196"/>
        <v>1.1687153738007323</v>
      </c>
      <c r="V143" s="191">
        <f t="shared" si="197"/>
        <v>0.99172975583613054</v>
      </c>
      <c r="W143" s="175">
        <f t="shared" si="198"/>
        <v>350</v>
      </c>
      <c r="X143" s="386">
        <f t="shared" si="199"/>
        <v>350</v>
      </c>
      <c r="Z143" s="191">
        <f t="shared" si="200"/>
        <v>0.42750674016451157</v>
      </c>
      <c r="AA143" s="153">
        <f t="shared" si="201"/>
        <v>1.3115415657788541</v>
      </c>
      <c r="AB143" s="153">
        <f t="shared" si="260"/>
        <v>4.7478024382677106E-2</v>
      </c>
      <c r="AC143" s="153"/>
      <c r="AD143" s="153">
        <f t="shared" si="203"/>
        <v>0.46018276762402083</v>
      </c>
      <c r="AE143" s="317">
        <f t="shared" si="261"/>
        <v>956.14184397163137</v>
      </c>
      <c r="AF143" s="463">
        <f t="shared" si="262"/>
        <v>1.2079797650130546E-2</v>
      </c>
      <c r="AH143" s="153">
        <f t="shared" si="263"/>
        <v>0.35267109279901104</v>
      </c>
      <c r="AI143" s="153">
        <f t="shared" si="264"/>
        <v>0.35267109279901104</v>
      </c>
      <c r="AJ143" s="153">
        <f t="shared" si="265"/>
        <v>1.3501267354066748</v>
      </c>
      <c r="AL143" s="317">
        <f t="shared" si="266"/>
        <v>33</v>
      </c>
      <c r="AM143" s="147">
        <f t="shared" si="267"/>
        <v>350</v>
      </c>
      <c r="AO143" s="147">
        <f t="shared" si="211"/>
        <v>33</v>
      </c>
      <c r="AP143" s="147">
        <f t="shared" si="212"/>
        <v>350</v>
      </c>
      <c r="AR143" s="5">
        <f t="shared" si="249"/>
        <v>2.8571428571428572</v>
      </c>
      <c r="AS143" s="5">
        <f t="shared" si="246"/>
        <v>1.2750416431964247</v>
      </c>
      <c r="AT143" s="5">
        <f t="shared" si="247"/>
        <v>1.5821012139464325</v>
      </c>
      <c r="AU143" s="153">
        <f t="shared" si="248"/>
        <v>0.44626457511874862</v>
      </c>
      <c r="AW143" s="5">
        <f t="shared" si="216"/>
        <v>0.28050916150321342</v>
      </c>
      <c r="AX143" s="5"/>
      <c r="AY143" s="5">
        <f t="shared" si="217"/>
        <v>0.26297733890926261</v>
      </c>
      <c r="AZ143" s="5"/>
      <c r="BA143" s="5">
        <f t="shared" si="218"/>
        <v>8.9246735145696185E-2</v>
      </c>
      <c r="BB143" s="5"/>
      <c r="BC143" s="5"/>
      <c r="BD143" s="153">
        <f t="shared" si="219"/>
        <v>0.13602083700355663</v>
      </c>
      <c r="BE143" s="153">
        <f t="shared" si="220"/>
        <v>0.15151666068852437</v>
      </c>
      <c r="BF143" s="153">
        <f t="shared" si="221"/>
        <v>0.15171472168288844</v>
      </c>
      <c r="BG143" s="153"/>
      <c r="BH143" s="463">
        <f t="shared" si="222"/>
        <v>6.4755838347018424E-3</v>
      </c>
      <c r="BI143" s="463">
        <f t="shared" si="223"/>
        <v>1.7478379359118987E-2</v>
      </c>
      <c r="BJ143" s="463">
        <f t="shared" si="224"/>
        <v>4.3749999999999995E-3</v>
      </c>
      <c r="BK143" s="463">
        <f t="shared" si="225"/>
        <v>1.4035392000000001E-2</v>
      </c>
      <c r="BL143">
        <f t="shared" si="226"/>
        <v>3.7699999999999999E-3</v>
      </c>
      <c r="BM143">
        <f t="shared" si="268"/>
        <v>6.9999999999999999E-6</v>
      </c>
      <c r="BN143">
        <f t="shared" si="269"/>
        <v>4.707179781682648E-2</v>
      </c>
      <c r="BO143" s="147">
        <f t="shared" si="229"/>
        <v>46.134355193820831</v>
      </c>
      <c r="BP143" s="153">
        <f t="shared" si="230"/>
        <v>1.3200000000000002E-2</v>
      </c>
      <c r="BQ143" s="153">
        <f t="shared" si="231"/>
        <v>1.3200000000000002E-2</v>
      </c>
      <c r="BR143" s="463"/>
      <c r="BT143" s="147">
        <f t="shared" si="232"/>
        <v>26.400000000000002</v>
      </c>
      <c r="BU143" s="463">
        <f t="shared" si="233"/>
        <v>1.8501668099148123E-2</v>
      </c>
      <c r="BV143" s="463">
        <f t="shared" si="234"/>
        <v>2.2957298466201426E-2</v>
      </c>
      <c r="BW143" s="463">
        <f t="shared" si="235"/>
        <v>1.1508678387658151E-3</v>
      </c>
      <c r="BX143" s="463">
        <f t="shared" si="236"/>
        <v>0</v>
      </c>
      <c r="BY143" s="463">
        <f t="shared" si="180"/>
        <v>4.7886248542258807E-2</v>
      </c>
      <c r="BZ143" s="463">
        <f t="shared" si="250"/>
        <v>4.2609834404115358E-2</v>
      </c>
      <c r="CA143" s="549">
        <f t="shared" si="270"/>
        <v>2.176595744680852E-2</v>
      </c>
      <c r="CB143" s="147">
        <f t="shared" si="238"/>
        <v>154.87187479729803</v>
      </c>
      <c r="CC143" s="153">
        <f t="shared" si="251"/>
        <v>0.1431240038058938</v>
      </c>
      <c r="CD143" s="5">
        <f t="shared" si="239"/>
        <v>1.0230000000000001</v>
      </c>
      <c r="CE143" s="153">
        <f t="shared" si="240"/>
        <v>0.87726519363397182</v>
      </c>
      <c r="CF143" s="5">
        <f t="shared" si="241"/>
        <v>87.726519363397188</v>
      </c>
      <c r="CG143">
        <f t="shared" si="242"/>
        <v>33</v>
      </c>
      <c r="CI143" s="59">
        <f t="shared" si="271"/>
        <v>-50</v>
      </c>
      <c r="CJ143">
        <f t="shared" si="272"/>
        <v>-50</v>
      </c>
    </row>
    <row r="144" spans="5:88" x14ac:dyDescent="0.25">
      <c r="E144" s="150">
        <v>34</v>
      </c>
      <c r="F144" s="191">
        <f t="shared" si="273"/>
        <v>3.4000000000000002E-2</v>
      </c>
      <c r="G144" s="191">
        <f t="shared" si="252"/>
        <v>3.4000000000000002E-2</v>
      </c>
      <c r="H144" s="191">
        <f t="shared" si="253"/>
        <v>0.51</v>
      </c>
      <c r="I144" s="191">
        <f t="shared" si="254"/>
        <v>0.54400000000000004</v>
      </c>
      <c r="J144" s="472">
        <f t="shared" si="186"/>
        <v>13</v>
      </c>
      <c r="K144" s="386">
        <f t="shared" si="187"/>
        <v>15.32</v>
      </c>
      <c r="L144" s="386">
        <f t="shared" si="188"/>
        <v>28.32</v>
      </c>
      <c r="M144" s="386"/>
      <c r="N144" s="191">
        <f t="shared" si="189"/>
        <v>0.54096045197740117</v>
      </c>
      <c r="O144" s="152">
        <f t="shared" si="255"/>
        <v>1.1484503143794424</v>
      </c>
      <c r="P144" s="152">
        <f t="shared" si="256"/>
        <v>2.5316949152542376</v>
      </c>
      <c r="Q144" s="191">
        <f t="shared" si="192"/>
        <v>7.6563354291962829E-2</v>
      </c>
      <c r="R144" s="191">
        <f t="shared" si="257"/>
        <v>7.1778144648715153E-2</v>
      </c>
      <c r="S144" s="191">
        <f t="shared" si="258"/>
        <v>15</v>
      </c>
      <c r="T144" s="191">
        <f t="shared" si="259"/>
        <v>0.3330575082011113</v>
      </c>
      <c r="U144" s="191">
        <f t="shared" si="196"/>
        <v>1.2041309911886333</v>
      </c>
      <c r="V144" s="191">
        <f t="shared" si="197"/>
        <v>1.0217821726796494</v>
      </c>
      <c r="W144" s="175">
        <f t="shared" si="198"/>
        <v>350</v>
      </c>
      <c r="X144" s="386">
        <f t="shared" si="199"/>
        <v>350</v>
      </c>
      <c r="Z144" s="191">
        <f t="shared" si="200"/>
        <v>0.42750674016451157</v>
      </c>
      <c r="AA144" s="153">
        <f t="shared" si="201"/>
        <v>1.3115415657788541</v>
      </c>
      <c r="AB144" s="153">
        <f t="shared" si="260"/>
        <v>4.7478024382677106E-2</v>
      </c>
      <c r="AC144" s="153"/>
      <c r="AD144" s="153">
        <f t="shared" si="203"/>
        <v>0.46018276762402083</v>
      </c>
      <c r="AE144" s="317">
        <f t="shared" si="261"/>
        <v>985.11583924349907</v>
      </c>
      <c r="AF144" s="463">
        <f t="shared" si="262"/>
        <v>1.2079797650130546E-2</v>
      </c>
      <c r="AH144" s="153">
        <f t="shared" si="263"/>
        <v>0.35797471510783407</v>
      </c>
      <c r="AI144" s="153">
        <f t="shared" si="264"/>
        <v>0.35797471510783407</v>
      </c>
      <c r="AJ144" s="153">
        <f t="shared" si="265"/>
        <v>1.3540553445243215</v>
      </c>
      <c r="AL144" s="317">
        <f t="shared" si="266"/>
        <v>34</v>
      </c>
      <c r="AM144" s="147">
        <f t="shared" si="267"/>
        <v>350</v>
      </c>
      <c r="AO144" s="147">
        <f t="shared" si="211"/>
        <v>34</v>
      </c>
      <c r="AP144" s="147">
        <f t="shared" si="212"/>
        <v>350</v>
      </c>
      <c r="AR144" s="5">
        <f t="shared" si="249"/>
        <v>2.8571428571428572</v>
      </c>
      <c r="AS144" s="5">
        <f t="shared" si="246"/>
        <v>1.2942162776975539</v>
      </c>
      <c r="AT144" s="5">
        <f t="shared" si="247"/>
        <v>1.5629265794453033</v>
      </c>
      <c r="AU144" s="153">
        <f t="shared" si="248"/>
        <v>0.45297569719414382</v>
      </c>
      <c r="AW144" s="5">
        <f t="shared" si="216"/>
        <v>0.29335568961144554</v>
      </c>
      <c r="AX144" s="5"/>
      <c r="AY144" s="5">
        <f t="shared" si="217"/>
        <v>0.2750209590107302</v>
      </c>
      <c r="AZ144" s="5"/>
      <c r="BA144" s="5">
        <f t="shared" si="218"/>
        <v>9.083675846348771E-2</v>
      </c>
      <c r="BB144" s="5"/>
      <c r="BC144" s="5"/>
      <c r="BD144" s="153">
        <f t="shared" si="219"/>
        <v>0.13910065525913556</v>
      </c>
      <c r="BE144" s="153">
        <f t="shared" si="220"/>
        <v>0.15286041538603373</v>
      </c>
      <c r="BF144" s="153">
        <f t="shared" si="221"/>
        <v>0.15306023292248608</v>
      </c>
      <c r="BG144" s="153"/>
      <c r="BH144" s="463">
        <f t="shared" si="222"/>
        <v>6.772147302732308E-3</v>
      </c>
      <c r="BI144" s="463">
        <f t="shared" si="223"/>
        <v>1.7741226880744261E-2</v>
      </c>
      <c r="BJ144" s="463">
        <f t="shared" si="224"/>
        <v>4.3749999999999995E-3</v>
      </c>
      <c r="BK144" s="463">
        <f t="shared" si="225"/>
        <v>1.4035392000000001E-2</v>
      </c>
      <c r="BL144">
        <f t="shared" si="226"/>
        <v>3.7699999999999999E-3</v>
      </c>
      <c r="BM144">
        <f t="shared" si="268"/>
        <v>6.9999999999999999E-6</v>
      </c>
      <c r="BN144">
        <f t="shared" si="269"/>
        <v>4.7674573598203311E-2</v>
      </c>
      <c r="BO144" s="147">
        <f t="shared" si="229"/>
        <v>46.693766183476569</v>
      </c>
      <c r="BP144" s="153">
        <f t="shared" si="230"/>
        <v>1.3600000000000001E-2</v>
      </c>
      <c r="BQ144" s="153">
        <f t="shared" si="231"/>
        <v>1.3600000000000001E-2</v>
      </c>
      <c r="BR144" s="463"/>
      <c r="BT144" s="147">
        <f t="shared" si="232"/>
        <v>27.200000000000003</v>
      </c>
      <c r="BU144" s="463">
        <f t="shared" si="233"/>
        <v>1.934899229352088E-2</v>
      </c>
      <c r="BV144" s="463">
        <f t="shared" si="234"/>
        <v>2.3366306591990779E-2</v>
      </c>
      <c r="BW144" s="463">
        <f t="shared" si="235"/>
        <v>1.1713717451142846E-3</v>
      </c>
      <c r="BX144" s="463">
        <f t="shared" si="236"/>
        <v>0</v>
      </c>
      <c r="BY144" s="463">
        <f t="shared" si="180"/>
        <v>4.9326252305370591E-2</v>
      </c>
      <c r="BZ144" s="463">
        <f t="shared" si="250"/>
        <v>4.388667063062595E-2</v>
      </c>
      <c r="CA144" s="549">
        <f t="shared" si="270"/>
        <v>2.2425531914893628E-2</v>
      </c>
      <c r="CB144" s="147">
        <f t="shared" si="238"/>
        <v>159.52512548151611</v>
      </c>
      <c r="CC144" s="153">
        <f t="shared" si="251"/>
        <v>0.14662635781846753</v>
      </c>
      <c r="CD144" s="5">
        <f t="shared" si="239"/>
        <v>1.054</v>
      </c>
      <c r="CE144" s="153">
        <f t="shared" si="240"/>
        <v>0.87787511338257906</v>
      </c>
      <c r="CF144" s="5">
        <f t="shared" si="241"/>
        <v>87.7875113382579</v>
      </c>
      <c r="CG144">
        <f t="shared" si="242"/>
        <v>34</v>
      </c>
      <c r="CI144" s="59">
        <f t="shared" si="271"/>
        <v>-50</v>
      </c>
      <c r="CJ144">
        <f t="shared" si="272"/>
        <v>-50</v>
      </c>
    </row>
    <row r="145" spans="5:88" x14ac:dyDescent="0.25">
      <c r="E145" s="150">
        <v>35</v>
      </c>
      <c r="F145" s="191">
        <f t="shared" si="273"/>
        <v>3.4999999999999996E-2</v>
      </c>
      <c r="G145" s="191">
        <f t="shared" si="252"/>
        <v>3.4999999999999996E-2</v>
      </c>
      <c r="H145" s="191">
        <f t="shared" si="253"/>
        <v>0.52499999999999991</v>
      </c>
      <c r="I145" s="191">
        <f t="shared" si="254"/>
        <v>0.55999999999999994</v>
      </c>
      <c r="J145" s="472">
        <f t="shared" si="186"/>
        <v>13</v>
      </c>
      <c r="K145" s="386">
        <f t="shared" si="187"/>
        <v>15.32</v>
      </c>
      <c r="L145" s="386">
        <f t="shared" si="188"/>
        <v>28.32</v>
      </c>
      <c r="M145" s="386"/>
      <c r="N145" s="191">
        <f t="shared" si="189"/>
        <v>0.54096045197740117</v>
      </c>
      <c r="O145" s="152">
        <f t="shared" si="255"/>
        <v>1.1484503143794424</v>
      </c>
      <c r="P145" s="152">
        <f t="shared" si="256"/>
        <v>2.5316949152542376</v>
      </c>
      <c r="Q145" s="191">
        <f t="shared" si="192"/>
        <v>7.6563354291962829E-2</v>
      </c>
      <c r="R145" s="191">
        <f t="shared" si="257"/>
        <v>7.1778144648715153E-2</v>
      </c>
      <c r="S145" s="191">
        <f t="shared" si="258"/>
        <v>15</v>
      </c>
      <c r="T145" s="191">
        <f t="shared" si="259"/>
        <v>0.34285331726584983</v>
      </c>
      <c r="U145" s="191">
        <f t="shared" si="196"/>
        <v>1.2395466085765341</v>
      </c>
      <c r="V145" s="191">
        <f t="shared" si="197"/>
        <v>1.0518345895231684</v>
      </c>
      <c r="W145" s="175">
        <f t="shared" si="198"/>
        <v>350</v>
      </c>
      <c r="X145" s="386">
        <f t="shared" si="199"/>
        <v>350</v>
      </c>
      <c r="Z145" s="191">
        <f t="shared" si="200"/>
        <v>0.42750674016451157</v>
      </c>
      <c r="AA145" s="153">
        <f t="shared" si="201"/>
        <v>1.3115415657788541</v>
      </c>
      <c r="AB145" s="153">
        <f t="shared" si="260"/>
        <v>4.7478024382677106E-2</v>
      </c>
      <c r="AC145" s="153"/>
      <c r="AD145" s="153">
        <f t="shared" si="203"/>
        <v>0.46018276762402083</v>
      </c>
      <c r="AE145" s="317">
        <f t="shared" si="261"/>
        <v>1014.0898345153665</v>
      </c>
      <c r="AF145" s="463">
        <f t="shared" si="262"/>
        <v>1.2079797650130546E-2</v>
      </c>
      <c r="AH145" s="153">
        <f t="shared" si="263"/>
        <v>0.36320089980205345</v>
      </c>
      <c r="AI145" s="153">
        <f t="shared" si="264"/>
        <v>0.36320089980205345</v>
      </c>
      <c r="AJ145" s="153">
        <f t="shared" si="265"/>
        <v>1.3579265924459656</v>
      </c>
      <c r="AL145" s="317">
        <f t="shared" si="266"/>
        <v>34.999999999999993</v>
      </c>
      <c r="AM145" s="147">
        <f t="shared" si="267"/>
        <v>350</v>
      </c>
      <c r="AO145" s="147">
        <f t="shared" si="211"/>
        <v>34.999999999999993</v>
      </c>
      <c r="AP145" s="147">
        <f t="shared" si="212"/>
        <v>350</v>
      </c>
      <c r="AR145" s="5">
        <f t="shared" si="249"/>
        <v>2.8571428571428572</v>
      </c>
      <c r="AS145" s="5">
        <f t="shared" si="246"/>
        <v>1.3131109454381931</v>
      </c>
      <c r="AT145" s="5">
        <f t="shared" si="247"/>
        <v>1.5440319117046641</v>
      </c>
      <c r="AU145" s="153">
        <f t="shared" si="248"/>
        <v>0.45958883090336755</v>
      </c>
      <c r="AW145" s="5">
        <f t="shared" si="216"/>
        <v>0.30639255393557835</v>
      </c>
      <c r="AX145" s="5"/>
      <c r="AY145" s="5">
        <f t="shared" si="217"/>
        <v>0.28724301931460466</v>
      </c>
      <c r="AZ145" s="5"/>
      <c r="BA145" s="5">
        <f t="shared" si="218"/>
        <v>9.2377977623355964E-2</v>
      </c>
      <c r="BB145" s="5"/>
      <c r="BC145" s="5"/>
      <c r="BD145" s="153">
        <f t="shared" si="219"/>
        <v>0.14215790719734739</v>
      </c>
      <c r="BE145" s="153">
        <f t="shared" si="220"/>
        <v>0.15415174545539248</v>
      </c>
      <c r="BF145" s="153">
        <f t="shared" si="221"/>
        <v>0.15435325100500738</v>
      </c>
      <c r="BG145" s="153"/>
      <c r="BH145" s="463">
        <f t="shared" si="222"/>
        <v>7.0731047025553717E-3</v>
      </c>
      <c r="BI145" s="463">
        <f t="shared" si="223"/>
        <v>1.800023659418977E-2</v>
      </c>
      <c r="BJ145" s="463">
        <f t="shared" si="224"/>
        <v>4.3749999999999995E-3</v>
      </c>
      <c r="BK145" s="463">
        <f t="shared" si="225"/>
        <v>1.4035392000000001E-2</v>
      </c>
      <c r="BL145">
        <f t="shared" si="226"/>
        <v>3.7699999999999999E-3</v>
      </c>
      <c r="BM145">
        <f t="shared" si="268"/>
        <v>6.9999999999999999E-6</v>
      </c>
      <c r="BN145">
        <f t="shared" si="269"/>
        <v>4.8278605423519569E-2</v>
      </c>
      <c r="BO145" s="147">
        <f t="shared" si="229"/>
        <v>47.253733296745139</v>
      </c>
      <c r="BP145" s="153">
        <f t="shared" si="230"/>
        <v>1.3999999999999999E-2</v>
      </c>
      <c r="BQ145" s="153">
        <f t="shared" si="231"/>
        <v>1.3999999999999999E-2</v>
      </c>
      <c r="BR145" s="463"/>
      <c r="BT145" s="147">
        <f t="shared" si="232"/>
        <v>27.999999999999996</v>
      </c>
      <c r="BU145" s="463">
        <f t="shared" si="233"/>
        <v>2.0208870578729634E-2</v>
      </c>
      <c r="BV145" s="463">
        <f t="shared" si="234"/>
        <v>2.3762760626944116E-2</v>
      </c>
      <c r="BW145" s="463">
        <f t="shared" si="235"/>
        <v>1.1912463047907406E-3</v>
      </c>
      <c r="BX145" s="463">
        <f t="shared" si="236"/>
        <v>0</v>
      </c>
      <c r="BY145" s="463">
        <f t="shared" si="180"/>
        <v>5.076584132961505E-2</v>
      </c>
      <c r="BZ145" s="463">
        <f t="shared" si="250"/>
        <v>4.5162877510464494E-2</v>
      </c>
      <c r="CA145" s="549">
        <f t="shared" si="270"/>
        <v>2.3085106382978726E-2</v>
      </c>
      <c r="CB145" s="147">
        <f t="shared" si="238"/>
        <v>164.17670273352275</v>
      </c>
      <c r="CC145" s="153">
        <f t="shared" si="251"/>
        <v>0.15012955313611334</v>
      </c>
      <c r="CD145" s="5">
        <f t="shared" si="239"/>
        <v>1.085</v>
      </c>
      <c r="CE145" s="153">
        <f t="shared" si="240"/>
        <v>0.87845035951498374</v>
      </c>
      <c r="CF145" s="5">
        <f t="shared" si="241"/>
        <v>87.845035951498375</v>
      </c>
      <c r="CG145">
        <f t="shared" si="242"/>
        <v>34.999999999999993</v>
      </c>
      <c r="CI145" s="59">
        <f t="shared" si="271"/>
        <v>-50</v>
      </c>
      <c r="CJ145">
        <f t="shared" si="272"/>
        <v>-50</v>
      </c>
    </row>
    <row r="146" spans="5:88" x14ac:dyDescent="0.25">
      <c r="E146" s="150">
        <v>36</v>
      </c>
      <c r="F146" s="191">
        <f t="shared" si="273"/>
        <v>3.5999999999999997E-2</v>
      </c>
      <c r="G146" s="191">
        <f t="shared" si="252"/>
        <v>3.5999999999999997E-2</v>
      </c>
      <c r="H146" s="191">
        <f t="shared" si="253"/>
        <v>0.53999999999999992</v>
      </c>
      <c r="I146" s="191">
        <f t="shared" si="254"/>
        <v>0.57599999999999996</v>
      </c>
      <c r="J146" s="472">
        <f t="shared" si="186"/>
        <v>13</v>
      </c>
      <c r="K146" s="386">
        <f t="shared" si="187"/>
        <v>15.32</v>
      </c>
      <c r="L146" s="386">
        <f t="shared" si="188"/>
        <v>28.32</v>
      </c>
      <c r="M146" s="386"/>
      <c r="N146" s="191">
        <f t="shared" si="189"/>
        <v>0.54096045197740117</v>
      </c>
      <c r="O146" s="152">
        <f t="shared" si="255"/>
        <v>1.1484503143794424</v>
      </c>
      <c r="P146" s="152">
        <f t="shared" si="256"/>
        <v>2.5316949152542376</v>
      </c>
      <c r="Q146" s="191">
        <f t="shared" si="192"/>
        <v>7.6563354291962829E-2</v>
      </c>
      <c r="R146" s="191">
        <f t="shared" si="257"/>
        <v>7.1778144648715153E-2</v>
      </c>
      <c r="S146" s="191">
        <f t="shared" si="258"/>
        <v>15</v>
      </c>
      <c r="T146" s="191">
        <f t="shared" si="259"/>
        <v>0.35264912633058837</v>
      </c>
      <c r="U146" s="191">
        <f t="shared" si="196"/>
        <v>1.2749622259644349</v>
      </c>
      <c r="V146" s="191">
        <f t="shared" si="197"/>
        <v>1.0818870063666874</v>
      </c>
      <c r="W146" s="175">
        <f t="shared" si="198"/>
        <v>350</v>
      </c>
      <c r="X146" s="386">
        <f t="shared" si="199"/>
        <v>350</v>
      </c>
      <c r="Z146" s="191">
        <f t="shared" si="200"/>
        <v>0.42750674016451157</v>
      </c>
      <c r="AA146" s="153">
        <f t="shared" si="201"/>
        <v>1.3115415657788541</v>
      </c>
      <c r="AB146" s="153">
        <f t="shared" si="260"/>
        <v>4.7478024382677106E-2</v>
      </c>
      <c r="AC146" s="153"/>
      <c r="AD146" s="153">
        <f t="shared" si="203"/>
        <v>0.46018276762402083</v>
      </c>
      <c r="AE146" s="317">
        <f t="shared" si="261"/>
        <v>1043.0638297872342</v>
      </c>
      <c r="AF146" s="463">
        <f t="shared" si="262"/>
        <v>1.2079797650130546E-2</v>
      </c>
      <c r="AH146" s="153">
        <f t="shared" si="263"/>
        <v>0.36835294294671733</v>
      </c>
      <c r="AI146" s="153">
        <f t="shared" si="264"/>
        <v>0.36835294294671733</v>
      </c>
      <c r="AJ146" s="153">
        <f t="shared" si="265"/>
        <v>1.3617429207012721</v>
      </c>
      <c r="AL146" s="317">
        <f t="shared" si="266"/>
        <v>36</v>
      </c>
      <c r="AM146" s="147">
        <f t="shared" si="267"/>
        <v>350</v>
      </c>
      <c r="AO146" s="147">
        <f t="shared" si="211"/>
        <v>36</v>
      </c>
      <c r="AP146" s="147">
        <f t="shared" si="212"/>
        <v>350</v>
      </c>
      <c r="AR146" s="5">
        <f t="shared" si="249"/>
        <v>2.8571428571428572</v>
      </c>
      <c r="AS146" s="5">
        <f t="shared" si="246"/>
        <v>1.3317375629612087</v>
      </c>
      <c r="AT146" s="5">
        <f t="shared" si="247"/>
        <v>1.5254052941816485</v>
      </c>
      <c r="AU146" s="153">
        <f t="shared" si="248"/>
        <v>0.46610814703642306</v>
      </c>
      <c r="AW146" s="5">
        <f t="shared" si="216"/>
        <v>0.31961701511069007</v>
      </c>
      <c r="AX146" s="5"/>
      <c r="AY146" s="5">
        <f t="shared" si="217"/>
        <v>0.29964095166627192</v>
      </c>
      <c r="AZ146" s="5"/>
      <c r="BA146" s="5">
        <f t="shared" si="218"/>
        <v>9.3871095026562948E-2</v>
      </c>
      <c r="BB146" s="5"/>
      <c r="BC146" s="5"/>
      <c r="BD146" s="153">
        <f t="shared" si="219"/>
        <v>0.14519339610759946</v>
      </c>
      <c r="BE146" s="153">
        <f t="shared" si="220"/>
        <v>0.15539253924361229</v>
      </c>
      <c r="BF146" s="153">
        <f t="shared" si="221"/>
        <v>0.15559566674589154</v>
      </c>
      <c r="BG146" s="153"/>
      <c r="BH146" s="463">
        <f t="shared" si="222"/>
        <v>7.3783927956403966E-3</v>
      </c>
      <c r="BI146" s="463">
        <f t="shared" si="223"/>
        <v>1.8255571852439312E-2</v>
      </c>
      <c r="BJ146" s="463">
        <f t="shared" si="224"/>
        <v>4.3749999999999995E-3</v>
      </c>
      <c r="BK146" s="463">
        <f t="shared" si="225"/>
        <v>1.4035392000000001E-2</v>
      </c>
      <c r="BL146">
        <f t="shared" si="226"/>
        <v>3.7699999999999999E-3</v>
      </c>
      <c r="BM146">
        <f t="shared" si="268"/>
        <v>6.9999999999999999E-6</v>
      </c>
      <c r="BN146">
        <f t="shared" si="269"/>
        <v>4.8883986104281102E-2</v>
      </c>
      <c r="BO146" s="147">
        <f t="shared" si="229"/>
        <v>47.814356648079709</v>
      </c>
      <c r="BP146" s="153">
        <f t="shared" si="230"/>
        <v>1.44E-2</v>
      </c>
      <c r="BQ146" s="153">
        <f t="shared" si="231"/>
        <v>1.44E-2</v>
      </c>
      <c r="BR146" s="463"/>
      <c r="BT146" s="147">
        <f t="shared" si="232"/>
        <v>28.8</v>
      </c>
      <c r="BU146" s="463">
        <f t="shared" si="233"/>
        <v>2.1081122273258278E-2</v>
      </c>
      <c r="BV146" s="463">
        <f t="shared" si="234"/>
        <v>2.4146841252577586E-2</v>
      </c>
      <c r="BW146" s="463">
        <f t="shared" si="235"/>
        <v>1.2105005755049269E-3</v>
      </c>
      <c r="BX146" s="463">
        <f t="shared" si="236"/>
        <v>0</v>
      </c>
      <c r="BY146" s="463">
        <f t="shared" si="180"/>
        <v>5.2205025489670619E-2</v>
      </c>
      <c r="BZ146" s="463">
        <f t="shared" si="250"/>
        <v>4.6438464101340789E-2</v>
      </c>
      <c r="CA146" s="549">
        <f t="shared" si="270"/>
        <v>2.3744680851063838E-2</v>
      </c>
      <c r="CB146" s="147">
        <f t="shared" si="238"/>
        <v>168.82663454341605</v>
      </c>
      <c r="CC146" s="153">
        <f t="shared" si="251"/>
        <v>0.15363369244501557</v>
      </c>
      <c r="CD146" s="5">
        <f t="shared" si="239"/>
        <v>1.1159999999999999</v>
      </c>
      <c r="CE146" s="153">
        <f t="shared" si="240"/>
        <v>0.87899368663637689</v>
      </c>
      <c r="CF146" s="5">
        <f t="shared" si="241"/>
        <v>87.899368663637688</v>
      </c>
      <c r="CG146">
        <f t="shared" si="242"/>
        <v>35.999999999999993</v>
      </c>
      <c r="CI146" s="59">
        <f t="shared" si="271"/>
        <v>-50</v>
      </c>
      <c r="CJ146">
        <f t="shared" si="272"/>
        <v>-50</v>
      </c>
    </row>
    <row r="147" spans="5:88" x14ac:dyDescent="0.25">
      <c r="E147" s="150">
        <v>37</v>
      </c>
      <c r="F147" s="191">
        <f t="shared" si="273"/>
        <v>3.6999999999999998E-2</v>
      </c>
      <c r="G147" s="191">
        <f t="shared" si="252"/>
        <v>3.6999999999999998E-2</v>
      </c>
      <c r="H147" s="191">
        <f t="shared" si="253"/>
        <v>0.55499999999999994</v>
      </c>
      <c r="I147" s="191">
        <f t="shared" si="254"/>
        <v>0.59199999999999997</v>
      </c>
      <c r="J147" s="472">
        <f t="shared" si="186"/>
        <v>13</v>
      </c>
      <c r="K147" s="386">
        <f t="shared" si="187"/>
        <v>15.32</v>
      </c>
      <c r="L147" s="386">
        <f t="shared" si="188"/>
        <v>28.32</v>
      </c>
      <c r="M147" s="386"/>
      <c r="N147" s="191">
        <f t="shared" si="189"/>
        <v>0.54096045197740117</v>
      </c>
      <c r="O147" s="152">
        <f t="shared" si="255"/>
        <v>1.1484503143794424</v>
      </c>
      <c r="P147" s="152">
        <f t="shared" si="256"/>
        <v>2.5316949152542376</v>
      </c>
      <c r="Q147" s="191">
        <f t="shared" si="192"/>
        <v>7.6563354291962829E-2</v>
      </c>
      <c r="R147" s="191">
        <f t="shared" si="257"/>
        <v>7.1778144648715153E-2</v>
      </c>
      <c r="S147" s="191">
        <f t="shared" si="258"/>
        <v>15</v>
      </c>
      <c r="T147" s="191">
        <f t="shared" si="259"/>
        <v>0.36244493539532691</v>
      </c>
      <c r="U147" s="191">
        <f t="shared" si="196"/>
        <v>1.3103778433523356</v>
      </c>
      <c r="V147" s="191">
        <f t="shared" si="197"/>
        <v>1.1119394232102062</v>
      </c>
      <c r="W147" s="175">
        <f t="shared" si="198"/>
        <v>350</v>
      </c>
      <c r="X147" s="386">
        <f t="shared" si="199"/>
        <v>350</v>
      </c>
      <c r="Z147" s="191">
        <f t="shared" si="200"/>
        <v>0.42750674016451157</v>
      </c>
      <c r="AA147" s="153">
        <f t="shared" si="201"/>
        <v>1.3115415657788541</v>
      </c>
      <c r="AB147" s="153">
        <f t="shared" si="260"/>
        <v>4.7478024382677106E-2</v>
      </c>
      <c r="AC147" s="153"/>
      <c r="AD147" s="153">
        <f t="shared" si="203"/>
        <v>0.46018276762402083</v>
      </c>
      <c r="AE147" s="317">
        <f t="shared" si="261"/>
        <v>1072.0378250591018</v>
      </c>
      <c r="AF147" s="463">
        <f t="shared" si="262"/>
        <v>1.2079797650130546E-2</v>
      </c>
      <c r="AH147" s="153">
        <f t="shared" si="263"/>
        <v>0.37343391321356167</v>
      </c>
      <c r="AI147" s="153">
        <f t="shared" si="264"/>
        <v>0.37343391321356167</v>
      </c>
      <c r="AJ147" s="153">
        <f t="shared" si="265"/>
        <v>1.3655066023804161</v>
      </c>
      <c r="AL147" s="317">
        <f t="shared" si="266"/>
        <v>37</v>
      </c>
      <c r="AM147" s="147">
        <f t="shared" si="267"/>
        <v>350</v>
      </c>
      <c r="AO147" s="147">
        <f t="shared" si="211"/>
        <v>37</v>
      </c>
      <c r="AP147" s="147">
        <f t="shared" si="212"/>
        <v>350</v>
      </c>
      <c r="AR147" s="5">
        <f t="shared" si="249"/>
        <v>2.8571428571428572</v>
      </c>
      <c r="AS147" s="5">
        <f t="shared" si="246"/>
        <v>1.3501072246951842</v>
      </c>
      <c r="AT147" s="5">
        <f t="shared" si="247"/>
        <v>1.507035632447673</v>
      </c>
      <c r="AU147" s="153">
        <f t="shared" si="248"/>
        <v>0.47253752864331444</v>
      </c>
      <c r="AW147" s="5">
        <f t="shared" si="216"/>
        <v>0.33302644875814541</v>
      </c>
      <c r="AX147" s="5"/>
      <c r="AY147" s="5">
        <f t="shared" si="217"/>
        <v>0.31221229571076137</v>
      </c>
      <c r="AZ147" s="5"/>
      <c r="BA147" s="5">
        <f t="shared" si="218"/>
        <v>9.5316783590707499E-2</v>
      </c>
      <c r="BB147" s="5"/>
      <c r="BC147" s="5"/>
      <c r="BD147" s="153">
        <f t="shared" si="219"/>
        <v>0.148207875228655</v>
      </c>
      <c r="BE147" s="153">
        <f t="shared" si="220"/>
        <v>0.15658455085418038</v>
      </c>
      <c r="BF147" s="153">
        <f t="shared" si="221"/>
        <v>0.15678923654157145</v>
      </c>
      <c r="BG147" s="153"/>
      <c r="BH147" s="463">
        <f t="shared" si="222"/>
        <v>7.6879509979273985E-3</v>
      </c>
      <c r="BI147" s="463">
        <f t="shared" si="223"/>
        <v>1.8507384738864117E-2</v>
      </c>
      <c r="BJ147" s="463">
        <f t="shared" si="224"/>
        <v>4.3749999999999995E-3</v>
      </c>
      <c r="BK147" s="463">
        <f t="shared" si="225"/>
        <v>1.4035392000000001E-2</v>
      </c>
      <c r="BL147">
        <f t="shared" si="226"/>
        <v>3.7699999999999999E-3</v>
      </c>
      <c r="BM147">
        <f t="shared" si="268"/>
        <v>6.9999999999999999E-6</v>
      </c>
      <c r="BN147">
        <f t="shared" si="269"/>
        <v>4.949080020675329E-2</v>
      </c>
      <c r="BO147" s="147">
        <f t="shared" si="229"/>
        <v>48.375727736791518</v>
      </c>
      <c r="BP147" s="153">
        <f t="shared" si="230"/>
        <v>1.4800000000000001E-2</v>
      </c>
      <c r="BQ147" s="153">
        <f t="shared" si="231"/>
        <v>1.4800000000000001E-2</v>
      </c>
      <c r="BR147" s="463"/>
      <c r="BT147" s="147">
        <f t="shared" si="232"/>
        <v>29.6</v>
      </c>
      <c r="BU147" s="463">
        <f t="shared" si="233"/>
        <v>2.1965574279792569E-2</v>
      </c>
      <c r="BV147" s="463">
        <f t="shared" si="234"/>
        <v>2.4518721566205402E-2</v>
      </c>
      <c r="BW147" s="463">
        <f t="shared" si="235"/>
        <v>1.2291432347644423E-3</v>
      </c>
      <c r="BX147" s="463">
        <f t="shared" si="236"/>
        <v>0</v>
      </c>
      <c r="BY147" s="463">
        <f t="shared" si="180"/>
        <v>5.3643814239475909E-2</v>
      </c>
      <c r="BZ147" s="463">
        <f t="shared" si="250"/>
        <v>4.7713439080762414E-2</v>
      </c>
      <c r="CA147" s="549">
        <f t="shared" si="270"/>
        <v>2.440425531914894E-2</v>
      </c>
      <c r="CB147" s="147">
        <f t="shared" si="238"/>
        <v>173.47494772014969</v>
      </c>
      <c r="CC147" s="153">
        <f t="shared" si="251"/>
        <v>0.15713886976537814</v>
      </c>
      <c r="CD147" s="5">
        <f t="shared" si="239"/>
        <v>1.1469999999999998</v>
      </c>
      <c r="CE147" s="153">
        <f t="shared" si="240"/>
        <v>0.87950756364339611</v>
      </c>
      <c r="CF147" s="5">
        <f t="shared" si="241"/>
        <v>87.950756364339611</v>
      </c>
      <c r="CG147">
        <f t="shared" si="242"/>
        <v>36.999999999999993</v>
      </c>
      <c r="CI147" s="59">
        <f t="shared" si="271"/>
        <v>-50</v>
      </c>
      <c r="CJ147">
        <f t="shared" si="272"/>
        <v>-50</v>
      </c>
    </row>
    <row r="148" spans="5:88" x14ac:dyDescent="0.25">
      <c r="E148" s="150">
        <v>38</v>
      </c>
      <c r="F148" s="191">
        <f t="shared" si="273"/>
        <v>3.8000000000000006E-2</v>
      </c>
      <c r="G148" s="191">
        <f t="shared" si="252"/>
        <v>3.8000000000000006E-2</v>
      </c>
      <c r="H148" s="191">
        <f t="shared" si="253"/>
        <v>0.57000000000000006</v>
      </c>
      <c r="I148" s="191">
        <f t="shared" si="254"/>
        <v>0.6080000000000001</v>
      </c>
      <c r="J148" s="472">
        <f t="shared" si="186"/>
        <v>13</v>
      </c>
      <c r="K148" s="386">
        <f t="shared" si="187"/>
        <v>15.32</v>
      </c>
      <c r="L148" s="386">
        <f t="shared" si="188"/>
        <v>28.32</v>
      </c>
      <c r="M148" s="386"/>
      <c r="N148" s="191">
        <f t="shared" si="189"/>
        <v>0.54096045197740117</v>
      </c>
      <c r="O148" s="152">
        <f t="shared" si="255"/>
        <v>1.1484503143794424</v>
      </c>
      <c r="P148" s="152">
        <f t="shared" si="256"/>
        <v>2.5316949152542376</v>
      </c>
      <c r="Q148" s="191">
        <f t="shared" si="192"/>
        <v>7.6563354291962829E-2</v>
      </c>
      <c r="R148" s="191">
        <f t="shared" si="257"/>
        <v>7.1778144648715153E-2</v>
      </c>
      <c r="S148" s="191">
        <f t="shared" si="258"/>
        <v>15</v>
      </c>
      <c r="T148" s="191">
        <f t="shared" si="259"/>
        <v>0.37224074446006561</v>
      </c>
      <c r="U148" s="191">
        <f t="shared" si="196"/>
        <v>1.3457934607402373</v>
      </c>
      <c r="V148" s="191">
        <f t="shared" si="197"/>
        <v>1.1419918400537261</v>
      </c>
      <c r="W148" s="175">
        <f t="shared" si="198"/>
        <v>350</v>
      </c>
      <c r="X148" s="386">
        <f t="shared" si="199"/>
        <v>350</v>
      </c>
      <c r="Z148" s="191">
        <f t="shared" si="200"/>
        <v>0.42750674016451157</v>
      </c>
      <c r="AA148" s="153">
        <f t="shared" si="201"/>
        <v>1.3115415657788541</v>
      </c>
      <c r="AB148" s="153">
        <f t="shared" si="260"/>
        <v>4.7478024382677106E-2</v>
      </c>
      <c r="AC148" s="153"/>
      <c r="AD148" s="153">
        <f t="shared" si="203"/>
        <v>0.46018276762402083</v>
      </c>
      <c r="AE148" s="317">
        <f t="shared" si="261"/>
        <v>1101.0118203309698</v>
      </c>
      <c r="AF148" s="463">
        <f t="shared" si="262"/>
        <v>1.2079797650130546E-2</v>
      </c>
      <c r="AH148" s="153">
        <f t="shared" si="263"/>
        <v>0.37844667325592951</v>
      </c>
      <c r="AI148" s="153">
        <f t="shared" si="264"/>
        <v>0.37844667325592951</v>
      </c>
      <c r="AJ148" s="153">
        <f t="shared" si="265"/>
        <v>1.3692197579673551</v>
      </c>
      <c r="AL148" s="317">
        <f t="shared" si="266"/>
        <v>38.000000000000007</v>
      </c>
      <c r="AM148" s="147">
        <f t="shared" si="267"/>
        <v>350</v>
      </c>
      <c r="AO148" s="147">
        <f t="shared" si="211"/>
        <v>38.000000000000007</v>
      </c>
      <c r="AP148" s="147">
        <f t="shared" si="212"/>
        <v>350</v>
      </c>
      <c r="AR148" s="5">
        <f t="shared" si="249"/>
        <v>2.8571428571428572</v>
      </c>
      <c r="AS148" s="5">
        <f t="shared" si="246"/>
        <v>1.3682302802329758</v>
      </c>
      <c r="AT148" s="5">
        <f t="shared" si="247"/>
        <v>1.4889125769098814</v>
      </c>
      <c r="AU148" s="153">
        <f t="shared" si="248"/>
        <v>0.47888059808154149</v>
      </c>
      <c r="AW148" s="5">
        <f t="shared" si="216"/>
        <v>0.34661833765902056</v>
      </c>
      <c r="AX148" s="5"/>
      <c r="AY148" s="5">
        <f t="shared" si="217"/>
        <v>0.3249546915553318</v>
      </c>
      <c r="AZ148" s="5"/>
      <c r="BA148" s="5">
        <f t="shared" si="218"/>
        <v>9.6715688756539311E-2</v>
      </c>
      <c r="BB148" s="5"/>
      <c r="BC148" s="5"/>
      <c r="BD148" s="153">
        <f t="shared" si="219"/>
        <v>0.15120205213223539</v>
      </c>
      <c r="BE148" s="153">
        <f t="shared" si="220"/>
        <v>0.15772941259372286</v>
      </c>
      <c r="BF148" s="153">
        <f t="shared" si="221"/>
        <v>0.15793559483240749</v>
      </c>
      <c r="BG148" s="153"/>
      <c r="BH148" s="463">
        <f t="shared" si="222"/>
        <v>8.0017211991497295E-3</v>
      </c>
      <c r="BI148" s="463">
        <f t="shared" si="223"/>
        <v>1.8755817126563868E-2</v>
      </c>
      <c r="BJ148" s="463">
        <f t="shared" si="224"/>
        <v>4.3749999999999995E-3</v>
      </c>
      <c r="BK148" s="463">
        <f t="shared" si="225"/>
        <v>1.4035392000000001E-2</v>
      </c>
      <c r="BL148">
        <f t="shared" si="226"/>
        <v>3.7699999999999999E-3</v>
      </c>
      <c r="BM148">
        <f t="shared" si="268"/>
        <v>6.9999999999999999E-6</v>
      </c>
      <c r="BN148">
        <f t="shared" si="269"/>
        <v>5.0099124905499719E-2</v>
      </c>
      <c r="BO148" s="147">
        <f t="shared" si="229"/>
        <v>48.937930325713609</v>
      </c>
      <c r="BP148" s="153">
        <f t="shared" si="230"/>
        <v>1.5200000000000003E-2</v>
      </c>
      <c r="BQ148" s="153">
        <f t="shared" si="231"/>
        <v>1.5200000000000003E-2</v>
      </c>
      <c r="BR148" s="463"/>
      <c r="BT148" s="147">
        <f t="shared" si="232"/>
        <v>30.400000000000006</v>
      </c>
      <c r="BU148" s="463">
        <f t="shared" si="233"/>
        <v>2.286206056899923E-2</v>
      </c>
      <c r="BV148" s="463">
        <f t="shared" si="234"/>
        <v>2.487856759716086E-2</v>
      </c>
      <c r="BW148" s="463">
        <f t="shared" si="235"/>
        <v>1.2471826057533191E-3</v>
      </c>
      <c r="BX148" s="463">
        <f t="shared" si="236"/>
        <v>0</v>
      </c>
      <c r="BY148" s="463">
        <f t="shared" si="180"/>
        <v>5.5082216640999583E-2</v>
      </c>
      <c r="BZ148" s="463">
        <f t="shared" si="250"/>
        <v>4.8987810771913415E-2</v>
      </c>
      <c r="CA148" s="549">
        <f t="shared" si="270"/>
        <v>2.5063829787234052E-2</v>
      </c>
      <c r="CB148" s="147">
        <f t="shared" si="238"/>
        <v>178.12166797206046</v>
      </c>
      <c r="CC148" s="153">
        <f t="shared" si="251"/>
        <v>0.16064517133373335</v>
      </c>
      <c r="CD148" s="5">
        <f t="shared" si="239"/>
        <v>1.1780000000000002</v>
      </c>
      <c r="CE148" s="153">
        <f t="shared" si="240"/>
        <v>0.87999420998644651</v>
      </c>
      <c r="CF148" s="5">
        <f t="shared" si="241"/>
        <v>87.999420998644652</v>
      </c>
      <c r="CG148">
        <f t="shared" si="242"/>
        <v>38.000000000000007</v>
      </c>
      <c r="CI148" s="59">
        <f t="shared" si="271"/>
        <v>-50</v>
      </c>
      <c r="CJ148">
        <f t="shared" si="272"/>
        <v>-50</v>
      </c>
    </row>
    <row r="149" spans="5:88" x14ac:dyDescent="0.25">
      <c r="E149" s="150">
        <v>39</v>
      </c>
      <c r="F149" s="191">
        <f t="shared" si="273"/>
        <v>3.9000000000000007E-2</v>
      </c>
      <c r="G149" s="191">
        <f t="shared" si="252"/>
        <v>3.9000000000000007E-2</v>
      </c>
      <c r="H149" s="191">
        <f t="shared" si="253"/>
        <v>0.58500000000000008</v>
      </c>
      <c r="I149" s="191">
        <f t="shared" si="254"/>
        <v>0.62400000000000011</v>
      </c>
      <c r="J149" s="472">
        <f t="shared" si="186"/>
        <v>13</v>
      </c>
      <c r="K149" s="386">
        <f t="shared" si="187"/>
        <v>15.32</v>
      </c>
      <c r="L149" s="386">
        <f t="shared" si="188"/>
        <v>28.32</v>
      </c>
      <c r="M149" s="386"/>
      <c r="N149" s="191">
        <f t="shared" si="189"/>
        <v>0.54096045197740117</v>
      </c>
      <c r="O149" s="152">
        <f t="shared" si="255"/>
        <v>1.1484503143794424</v>
      </c>
      <c r="P149" s="152">
        <f t="shared" si="256"/>
        <v>2.5316949152542376</v>
      </c>
      <c r="Q149" s="191">
        <f t="shared" si="192"/>
        <v>7.6563354291962829E-2</v>
      </c>
      <c r="R149" s="191">
        <f t="shared" si="257"/>
        <v>7.1778144648715153E-2</v>
      </c>
      <c r="S149" s="191">
        <f t="shared" si="258"/>
        <v>15</v>
      </c>
      <c r="T149" s="191">
        <f t="shared" si="259"/>
        <v>0.38203655352480415</v>
      </c>
      <c r="U149" s="191">
        <f t="shared" si="196"/>
        <v>1.3812090781281381</v>
      </c>
      <c r="V149" s="191">
        <f t="shared" si="197"/>
        <v>1.1720442568972451</v>
      </c>
      <c r="W149" s="175">
        <f t="shared" si="198"/>
        <v>350</v>
      </c>
      <c r="X149" s="386">
        <f t="shared" si="199"/>
        <v>350</v>
      </c>
      <c r="Z149" s="191">
        <f t="shared" si="200"/>
        <v>0.42750674016451157</v>
      </c>
      <c r="AA149" s="153">
        <f t="shared" si="201"/>
        <v>1.3115415657788541</v>
      </c>
      <c r="AB149" s="153">
        <f t="shared" si="260"/>
        <v>4.7478024382677106E-2</v>
      </c>
      <c r="AC149" s="153"/>
      <c r="AD149" s="153">
        <f t="shared" si="203"/>
        <v>0.46018276762402083</v>
      </c>
      <c r="AE149" s="317">
        <f t="shared" si="261"/>
        <v>1129.9858156028374</v>
      </c>
      <c r="AF149" s="463">
        <f t="shared" si="262"/>
        <v>1.2079797650130546E-2</v>
      </c>
      <c r="AH149" s="153">
        <f t="shared" si="263"/>
        <v>0.38339389856773487</v>
      </c>
      <c r="AI149" s="153">
        <f t="shared" si="264"/>
        <v>0.38339389856773487</v>
      </c>
      <c r="AJ149" s="153">
        <f t="shared" si="265"/>
        <v>1.3728843693094333</v>
      </c>
      <c r="AL149" s="317">
        <f t="shared" si="266"/>
        <v>39.000000000000007</v>
      </c>
      <c r="AM149" s="147">
        <f t="shared" si="267"/>
        <v>350</v>
      </c>
      <c r="AO149" s="147">
        <f t="shared" si="211"/>
        <v>39.000000000000007</v>
      </c>
      <c r="AP149" s="147">
        <f t="shared" si="212"/>
        <v>350</v>
      </c>
      <c r="AR149" s="5">
        <f t="shared" si="249"/>
        <v>2.8571428571428572</v>
      </c>
      <c r="AS149" s="5">
        <f t="shared" si="246"/>
        <v>1.3861164025141182</v>
      </c>
      <c r="AT149" s="5">
        <f t="shared" si="247"/>
        <v>1.471026454628739</v>
      </c>
      <c r="AU149" s="153">
        <f t="shared" si="248"/>
        <v>0.48514074087994136</v>
      </c>
      <c r="AW149" s="5">
        <f t="shared" si="216"/>
        <v>0.3603902646536708</v>
      </c>
      <c r="AX149" s="5"/>
      <c r="AY149" s="5">
        <f t="shared" si="217"/>
        <v>0.33786587311281641</v>
      </c>
      <c r="AZ149" s="5"/>
      <c r="BA149" s="5">
        <f t="shared" si="218"/>
        <v>9.8068430308582602E-2</v>
      </c>
      <c r="BB149" s="5"/>
      <c r="BC149" s="5"/>
      <c r="BD149" s="153">
        <f t="shared" si="219"/>
        <v>0.15417659261768488</v>
      </c>
      <c r="BE149" s="153">
        <f t="shared" si="220"/>
        <v>0.15882864595255677</v>
      </c>
      <c r="BF149" s="153">
        <f t="shared" si="221"/>
        <v>0.15903626509759278</v>
      </c>
      <c r="BG149" s="153"/>
      <c r="BH149" s="463">
        <f t="shared" si="222"/>
        <v>8.3196475989198472E-3</v>
      </c>
      <c r="BI149" s="463">
        <f t="shared" si="223"/>
        <v>1.9001001613016943E-2</v>
      </c>
      <c r="BJ149" s="463">
        <f t="shared" si="224"/>
        <v>4.3749999999999995E-3</v>
      </c>
      <c r="BK149" s="463">
        <f t="shared" si="225"/>
        <v>1.4035392000000001E-2</v>
      </c>
      <c r="BL149">
        <f t="shared" si="226"/>
        <v>3.7699999999999999E-3</v>
      </c>
      <c r="BM149">
        <f t="shared" si="268"/>
        <v>6.9999999999999999E-6</v>
      </c>
      <c r="BN149">
        <f t="shared" si="269"/>
        <v>5.0709030731325058E-2</v>
      </c>
      <c r="BO149" s="147">
        <f t="shared" si="229"/>
        <v>49.501041211936787</v>
      </c>
      <c r="BP149" s="153">
        <f t="shared" si="230"/>
        <v>1.5600000000000003E-2</v>
      </c>
      <c r="BQ149" s="153">
        <f t="shared" si="231"/>
        <v>1.5600000000000003E-2</v>
      </c>
      <c r="BR149" s="463"/>
      <c r="BT149" s="147">
        <f t="shared" si="232"/>
        <v>31.200000000000006</v>
      </c>
      <c r="BU149" s="463">
        <f t="shared" si="233"/>
        <v>2.3770421711199564E-2</v>
      </c>
      <c r="BV149" s="463">
        <f t="shared" si="234"/>
        <v>2.5226538775122629E-2</v>
      </c>
      <c r="BW149" s="463">
        <f t="shared" si="235"/>
        <v>1.2646266808095904E-3</v>
      </c>
      <c r="BX149" s="463">
        <f t="shared" si="236"/>
        <v>0</v>
      </c>
      <c r="BY149" s="463">
        <f t="shared" si="180"/>
        <v>5.6520241390335416E-2</v>
      </c>
      <c r="BZ149" s="463">
        <f t="shared" si="250"/>
        <v>5.0261587167131784E-2</v>
      </c>
      <c r="CA149" s="549">
        <f t="shared" si="270"/>
        <v>2.5723404255319153E-2</v>
      </c>
      <c r="CB149" s="147">
        <f t="shared" si="238"/>
        <v>182.76681997991815</v>
      </c>
      <c r="CC149" s="153">
        <f t="shared" si="251"/>
        <v>0.16415267637697964</v>
      </c>
      <c r="CD149" s="5">
        <f t="shared" si="239"/>
        <v>1.2090000000000001</v>
      </c>
      <c r="CE149" s="153">
        <f t="shared" si="240"/>
        <v>0.88045562652938836</v>
      </c>
      <c r="CF149" s="5">
        <f t="shared" si="241"/>
        <v>88.045562652938841</v>
      </c>
      <c r="CG149">
        <f t="shared" si="242"/>
        <v>39.000000000000007</v>
      </c>
      <c r="CI149" s="59">
        <f t="shared" si="271"/>
        <v>-50</v>
      </c>
      <c r="CJ149">
        <f t="shared" si="272"/>
        <v>-50</v>
      </c>
    </row>
    <row r="150" spans="5:88" x14ac:dyDescent="0.25">
      <c r="E150" s="150">
        <v>40</v>
      </c>
      <c r="F150" s="191">
        <f t="shared" si="273"/>
        <v>4.0000000000000008E-2</v>
      </c>
      <c r="G150" s="191">
        <f t="shared" si="252"/>
        <v>4.0000000000000008E-2</v>
      </c>
      <c r="H150" s="191">
        <f t="shared" si="253"/>
        <v>0.60000000000000009</v>
      </c>
      <c r="I150" s="191">
        <f t="shared" si="254"/>
        <v>0.64000000000000012</v>
      </c>
      <c r="J150" s="472">
        <f t="shared" si="186"/>
        <v>13</v>
      </c>
      <c r="K150" s="386">
        <f t="shared" si="187"/>
        <v>15.32</v>
      </c>
      <c r="L150" s="386">
        <f t="shared" si="188"/>
        <v>28.32</v>
      </c>
      <c r="M150" s="386"/>
      <c r="N150" s="191">
        <f t="shared" si="189"/>
        <v>0.54096045197740117</v>
      </c>
      <c r="O150" s="152">
        <f t="shared" si="255"/>
        <v>1.1484503143794424</v>
      </c>
      <c r="P150" s="152">
        <f t="shared" si="256"/>
        <v>2.5316949152542376</v>
      </c>
      <c r="Q150" s="191">
        <f t="shared" si="192"/>
        <v>7.6563354291962829E-2</v>
      </c>
      <c r="R150" s="191">
        <f t="shared" si="257"/>
        <v>7.1778144648715153E-2</v>
      </c>
      <c r="S150" s="191">
        <f t="shared" si="258"/>
        <v>15</v>
      </c>
      <c r="T150" s="191">
        <f t="shared" si="259"/>
        <v>0.39183236258954274</v>
      </c>
      <c r="U150" s="191">
        <f t="shared" si="196"/>
        <v>1.4166246955160389</v>
      </c>
      <c r="V150" s="191">
        <f t="shared" si="197"/>
        <v>1.2020966737407641</v>
      </c>
      <c r="W150" s="175">
        <f t="shared" si="198"/>
        <v>350</v>
      </c>
      <c r="X150" s="386">
        <f t="shared" si="199"/>
        <v>350</v>
      </c>
      <c r="Z150" s="191">
        <f t="shared" si="200"/>
        <v>0.42750674016451157</v>
      </c>
      <c r="AA150" s="153">
        <f t="shared" si="201"/>
        <v>1.3115415657788541</v>
      </c>
      <c r="AB150" s="153">
        <f t="shared" si="260"/>
        <v>4.7478024382677106E-2</v>
      </c>
      <c r="AC150" s="153"/>
      <c r="AD150" s="153">
        <f t="shared" si="203"/>
        <v>0.46018276762402083</v>
      </c>
      <c r="AE150" s="317">
        <f t="shared" si="261"/>
        <v>1158.959810874705</v>
      </c>
      <c r="AF150" s="463">
        <f t="shared" si="262"/>
        <v>1.2079797650130546E-2</v>
      </c>
      <c r="AH150" s="153">
        <f t="shared" si="263"/>
        <v>0.38827809417922732</v>
      </c>
      <c r="AI150" s="153">
        <f t="shared" si="264"/>
        <v>0.38827809417922732</v>
      </c>
      <c r="AJ150" s="153">
        <f t="shared" si="265"/>
        <v>1.3765022919846128</v>
      </c>
      <c r="AL150" s="317">
        <f t="shared" si="266"/>
        <v>40.000000000000007</v>
      </c>
      <c r="AM150" s="147">
        <f t="shared" si="267"/>
        <v>350</v>
      </c>
      <c r="AO150" s="147">
        <f t="shared" si="211"/>
        <v>40.000000000000007</v>
      </c>
      <c r="AP150" s="147">
        <f t="shared" si="212"/>
        <v>350</v>
      </c>
      <c r="AR150" s="5">
        <f t="shared" si="249"/>
        <v>2.8571428571428572</v>
      </c>
      <c r="AS150" s="5">
        <f t="shared" si="246"/>
        <v>1.4037746481864373</v>
      </c>
      <c r="AT150" s="5">
        <f t="shared" si="247"/>
        <v>1.4533682089564199</v>
      </c>
      <c r="AU150" s="153">
        <f t="shared" si="248"/>
        <v>0.49132112686525303</v>
      </c>
      <c r="AW150" s="5">
        <f t="shared" si="216"/>
        <v>0.37433990618305002</v>
      </c>
      <c r="AX150" s="5"/>
      <c r="AY150" s="5">
        <f t="shared" si="217"/>
        <v>0.35094366204660937</v>
      </c>
      <c r="AZ150" s="5"/>
      <c r="BA150" s="5">
        <f t="shared" si="218"/>
        <v>9.9375604031208209E-2</v>
      </c>
      <c r="BB150" s="5"/>
      <c r="BC150" s="5"/>
      <c r="BD150" s="153">
        <f t="shared" si="219"/>
        <v>0.1571321241833489</v>
      </c>
      <c r="BE150" s="153">
        <f t="shared" si="220"/>
        <v>0.15988367132422537</v>
      </c>
      <c r="BF150" s="153">
        <f t="shared" si="221"/>
        <v>0.16009266958739427</v>
      </c>
      <c r="BG150" s="153"/>
      <c r="BH150" s="463">
        <f t="shared" si="222"/>
        <v>8.641676557629983E-3</v>
      </c>
      <c r="BI150" s="463">
        <f t="shared" si="223"/>
        <v>1.9243062347522506E-2</v>
      </c>
      <c r="BJ150" s="463">
        <f t="shared" si="224"/>
        <v>4.3749999999999995E-3</v>
      </c>
      <c r="BK150" s="463">
        <f t="shared" si="225"/>
        <v>1.4035392000000001E-2</v>
      </c>
      <c r="BL150">
        <f t="shared" si="226"/>
        <v>3.7699999999999999E-3</v>
      </c>
      <c r="BM150">
        <f t="shared" si="268"/>
        <v>6.9999999999999999E-6</v>
      </c>
      <c r="BN150">
        <f t="shared" si="269"/>
        <v>5.1320582228885039E-2</v>
      </c>
      <c r="BO150" s="147">
        <f t="shared" si="229"/>
        <v>50.065130905152486</v>
      </c>
      <c r="BP150" s="153">
        <f t="shared" si="230"/>
        <v>1.6000000000000004E-2</v>
      </c>
      <c r="BQ150" s="153">
        <f t="shared" si="231"/>
        <v>1.6000000000000004E-2</v>
      </c>
      <c r="BR150" s="463"/>
      <c r="BT150" s="147">
        <f t="shared" si="232"/>
        <v>32.000000000000007</v>
      </c>
      <c r="BU150" s="463">
        <f t="shared" si="233"/>
        <v>2.4690504450371381E-2</v>
      </c>
      <c r="BV150" s="463">
        <f t="shared" si="234"/>
        <v>2.5562788356112927E-2</v>
      </c>
      <c r="BW150" s="463">
        <f t="shared" si="235"/>
        <v>1.2814831427809298E-3</v>
      </c>
      <c r="BX150" s="463">
        <f t="shared" si="236"/>
        <v>0</v>
      </c>
      <c r="BY150" s="463">
        <f t="shared" si="180"/>
        <v>5.7957896841434188E-2</v>
      </c>
      <c r="BZ150" s="463">
        <f t="shared" si="250"/>
        <v>5.1534775949265241E-2</v>
      </c>
      <c r="CA150" s="549">
        <f t="shared" si="270"/>
        <v>2.6382978723404268E-2</v>
      </c>
      <c r="CB150" s="147">
        <f t="shared" si="238"/>
        <v>187.41042746336893</v>
      </c>
      <c r="CC150" s="153">
        <f t="shared" si="251"/>
        <v>0.16766145779372349</v>
      </c>
      <c r="CD150" s="5">
        <f t="shared" si="239"/>
        <v>1.2400000000000002</v>
      </c>
      <c r="CE150" s="153">
        <f t="shared" si="240"/>
        <v>0.88089362192490162</v>
      </c>
      <c r="CF150" s="5">
        <f t="shared" si="241"/>
        <v>88.089362192490157</v>
      </c>
      <c r="CG150">
        <f t="shared" si="242"/>
        <v>40.000000000000007</v>
      </c>
      <c r="CI150" s="59">
        <f t="shared" si="271"/>
        <v>-50</v>
      </c>
      <c r="CJ150">
        <f t="shared" si="272"/>
        <v>-50</v>
      </c>
    </row>
    <row r="151" spans="5:88" x14ac:dyDescent="0.25">
      <c r="E151" s="150">
        <v>41</v>
      </c>
      <c r="F151" s="191">
        <f t="shared" si="273"/>
        <v>4.1000000000000002E-2</v>
      </c>
      <c r="G151" s="191">
        <f t="shared" si="252"/>
        <v>4.1000000000000002E-2</v>
      </c>
      <c r="H151" s="191">
        <f t="shared" si="253"/>
        <v>0.61499999999999999</v>
      </c>
      <c r="I151" s="191">
        <f t="shared" si="254"/>
        <v>0.65600000000000003</v>
      </c>
      <c r="J151" s="472">
        <f t="shared" si="186"/>
        <v>13</v>
      </c>
      <c r="K151" s="386">
        <f t="shared" si="187"/>
        <v>15.32</v>
      </c>
      <c r="L151" s="386">
        <f t="shared" si="188"/>
        <v>28.32</v>
      </c>
      <c r="M151" s="386"/>
      <c r="N151" s="191">
        <f t="shared" si="189"/>
        <v>0.54096045197740117</v>
      </c>
      <c r="O151" s="152">
        <f t="shared" si="255"/>
        <v>1.1484503143794424</v>
      </c>
      <c r="P151" s="152">
        <f t="shared" si="256"/>
        <v>2.5316949152542376</v>
      </c>
      <c r="Q151" s="191">
        <f t="shared" si="192"/>
        <v>7.6563354291962829E-2</v>
      </c>
      <c r="R151" s="191">
        <f t="shared" si="257"/>
        <v>7.1778144648715153E-2</v>
      </c>
      <c r="S151" s="191">
        <f t="shared" si="258"/>
        <v>15</v>
      </c>
      <c r="T151" s="191">
        <f t="shared" si="259"/>
        <v>0.40162817165428122</v>
      </c>
      <c r="U151" s="191">
        <f t="shared" si="196"/>
        <v>1.4520403129039394</v>
      </c>
      <c r="V151" s="191">
        <f t="shared" si="197"/>
        <v>1.2321490905842829</v>
      </c>
      <c r="W151" s="175">
        <f t="shared" si="198"/>
        <v>350</v>
      </c>
      <c r="X151" s="386">
        <f t="shared" si="199"/>
        <v>350</v>
      </c>
      <c r="Z151" s="191">
        <f t="shared" si="200"/>
        <v>0.42750674016451157</v>
      </c>
      <c r="AA151" s="153">
        <f t="shared" si="201"/>
        <v>1.3115415657788541</v>
      </c>
      <c r="AB151" s="153">
        <f t="shared" si="260"/>
        <v>4.7478024382677106E-2</v>
      </c>
      <c r="AC151" s="153"/>
      <c r="AD151" s="153">
        <f t="shared" si="203"/>
        <v>0.46018276762402083</v>
      </c>
      <c r="AE151" s="317">
        <f t="shared" si="261"/>
        <v>1187.9338061465724</v>
      </c>
      <c r="AF151" s="463">
        <f t="shared" si="262"/>
        <v>1.2079797650130546E-2</v>
      </c>
      <c r="AH151" s="153">
        <f t="shared" si="263"/>
        <v>0.39310160948530748</v>
      </c>
      <c r="AI151" s="153">
        <f t="shared" si="264"/>
        <v>0.39310160948530748</v>
      </c>
      <c r="AJ151" s="153">
        <f t="shared" si="265"/>
        <v>1.380075266285413</v>
      </c>
      <c r="AL151" s="317">
        <f t="shared" si="266"/>
        <v>41</v>
      </c>
      <c r="AM151" s="147">
        <f t="shared" si="267"/>
        <v>350</v>
      </c>
      <c r="AO151" s="147">
        <f t="shared" si="211"/>
        <v>41</v>
      </c>
      <c r="AP151" s="147">
        <f t="shared" si="212"/>
        <v>350</v>
      </c>
      <c r="AR151" s="5">
        <f t="shared" si="249"/>
        <v>2.8571428571428572</v>
      </c>
      <c r="AS151" s="5">
        <f t="shared" si="246"/>
        <v>1.4212135112161115</v>
      </c>
      <c r="AT151" s="5">
        <f t="shared" si="247"/>
        <v>1.4359293459267457</v>
      </c>
      <c r="AU151" s="153">
        <f t="shared" si="248"/>
        <v>0.49742472892563899</v>
      </c>
      <c r="AW151" s="5">
        <f t="shared" si="216"/>
        <v>0.38846502639907049</v>
      </c>
      <c r="AX151" s="5"/>
      <c r="AY151" s="5">
        <f t="shared" si="217"/>
        <v>0.36418596224912858</v>
      </c>
      <c r="AZ151" s="5"/>
      <c r="BA151" s="5">
        <f t="shared" si="218"/>
        <v>0.10063778321879757</v>
      </c>
      <c r="BB151" s="5"/>
      <c r="BC151" s="5"/>
      <c r="BD151" s="153">
        <f t="shared" si="219"/>
        <v>0.16006923913008198</v>
      </c>
      <c r="BE151" s="153">
        <f t="shared" si="220"/>
        <v>0.16089581663599281</v>
      </c>
      <c r="BF151" s="153">
        <f t="shared" si="221"/>
        <v>0.16110613796492876</v>
      </c>
      <c r="BG151" s="153"/>
      <c r="BH151" s="463">
        <f t="shared" si="222"/>
        <v>8.9677564604891766E-3</v>
      </c>
      <c r="BI151" s="463">
        <f t="shared" si="223"/>
        <v>1.9482115766091837E-2</v>
      </c>
      <c r="BJ151" s="463">
        <f t="shared" si="224"/>
        <v>4.3749999999999995E-3</v>
      </c>
      <c r="BK151" s="463">
        <f t="shared" si="225"/>
        <v>1.4035392000000001E-2</v>
      </c>
      <c r="BL151">
        <f t="shared" si="226"/>
        <v>3.7699999999999999E-3</v>
      </c>
      <c r="BM151">
        <f t="shared" si="268"/>
        <v>6.9999999999999999E-6</v>
      </c>
      <c r="BN151">
        <f t="shared" si="269"/>
        <v>5.1933838536709305E-2</v>
      </c>
      <c r="BO151" s="147">
        <f t="shared" si="229"/>
        <v>50.630264226581012</v>
      </c>
      <c r="BP151" s="153">
        <f t="shared" si="230"/>
        <v>1.6400000000000001E-2</v>
      </c>
      <c r="BQ151" s="153">
        <f t="shared" si="231"/>
        <v>1.6400000000000001E-2</v>
      </c>
      <c r="BR151" s="463"/>
      <c r="BT151" s="147">
        <f t="shared" si="232"/>
        <v>32.800000000000004</v>
      </c>
      <c r="BU151" s="463">
        <f t="shared" si="233"/>
        <v>2.5622161315683366E-2</v>
      </c>
      <c r="BV151" s="463">
        <f t="shared" si="234"/>
        <v>2.5887463810963022E-2</v>
      </c>
      <c r="BW151" s="463">
        <f t="shared" si="235"/>
        <v>1.2977593844987331E-3</v>
      </c>
      <c r="BX151" s="463">
        <f t="shared" si="236"/>
        <v>0</v>
      </c>
      <c r="BY151" s="463">
        <f t="shared" si="180"/>
        <v>5.9395191027739727E-2</v>
      </c>
      <c r="BZ151" s="463">
        <f t="shared" si="250"/>
        <v>5.2807384511145125E-2</v>
      </c>
      <c r="CA151" s="549">
        <f t="shared" si="270"/>
        <v>2.7042553191489356E-2</v>
      </c>
      <c r="CB151" s="147">
        <f t="shared" si="238"/>
        <v>192.05251324151934</v>
      </c>
      <c r="CC151" s="153">
        <f t="shared" si="251"/>
        <v>0.17117158275593838</v>
      </c>
      <c r="CD151" s="5">
        <f t="shared" si="239"/>
        <v>1.2709999999999999</v>
      </c>
      <c r="CE151" s="153">
        <f t="shared" si="240"/>
        <v>0.88130983524939832</v>
      </c>
      <c r="CF151" s="5">
        <f t="shared" si="241"/>
        <v>88.130983524939836</v>
      </c>
      <c r="CG151">
        <f t="shared" si="242"/>
        <v>41</v>
      </c>
      <c r="CI151" s="59">
        <f t="shared" si="271"/>
        <v>-50</v>
      </c>
      <c r="CJ151">
        <f t="shared" si="272"/>
        <v>-50</v>
      </c>
    </row>
    <row r="152" spans="5:88" x14ac:dyDescent="0.25">
      <c r="E152" s="150">
        <v>42</v>
      </c>
      <c r="F152" s="191">
        <f t="shared" si="273"/>
        <v>4.2000000000000003E-2</v>
      </c>
      <c r="G152" s="191">
        <f t="shared" si="252"/>
        <v>4.2000000000000003E-2</v>
      </c>
      <c r="H152" s="191">
        <f t="shared" si="253"/>
        <v>0.63</v>
      </c>
      <c r="I152" s="191">
        <f t="shared" si="254"/>
        <v>0.67200000000000004</v>
      </c>
      <c r="J152" s="472">
        <f t="shared" si="186"/>
        <v>13</v>
      </c>
      <c r="K152" s="386">
        <f t="shared" si="187"/>
        <v>15.32</v>
      </c>
      <c r="L152" s="386">
        <f t="shared" si="188"/>
        <v>28.32</v>
      </c>
      <c r="M152" s="386"/>
      <c r="N152" s="191">
        <f t="shared" si="189"/>
        <v>0.54096045197740117</v>
      </c>
      <c r="O152" s="152">
        <f t="shared" si="255"/>
        <v>1.1484503143794424</v>
      </c>
      <c r="P152" s="152">
        <f t="shared" si="256"/>
        <v>2.5316949152542376</v>
      </c>
      <c r="Q152" s="191">
        <f t="shared" si="192"/>
        <v>7.6563354291962829E-2</v>
      </c>
      <c r="R152" s="191">
        <f t="shared" si="257"/>
        <v>7.1778144648715153E-2</v>
      </c>
      <c r="S152" s="191">
        <f t="shared" si="258"/>
        <v>15</v>
      </c>
      <c r="T152" s="191">
        <f t="shared" si="259"/>
        <v>0.41142398071901981</v>
      </c>
      <c r="U152" s="191">
        <f t="shared" si="196"/>
        <v>1.4874559302918406</v>
      </c>
      <c r="V152" s="191">
        <f t="shared" si="197"/>
        <v>1.2622015074278021</v>
      </c>
      <c r="W152" s="175">
        <f t="shared" si="198"/>
        <v>350</v>
      </c>
      <c r="X152" s="386">
        <f t="shared" si="199"/>
        <v>350</v>
      </c>
      <c r="Z152" s="191">
        <f t="shared" si="200"/>
        <v>0.42750674016451157</v>
      </c>
      <c r="AA152" s="153">
        <f t="shared" si="201"/>
        <v>1.3115415657788541</v>
      </c>
      <c r="AB152" s="153">
        <f t="shared" si="260"/>
        <v>4.7478024382677106E-2</v>
      </c>
      <c r="AC152" s="153"/>
      <c r="AD152" s="153">
        <f t="shared" si="203"/>
        <v>0.46018276762402083</v>
      </c>
      <c r="AE152" s="317">
        <f t="shared" si="261"/>
        <v>1216.9078014184402</v>
      </c>
      <c r="AF152" s="463">
        <f t="shared" si="262"/>
        <v>1.2079797650130546E-2</v>
      </c>
      <c r="AH152" s="153">
        <f t="shared" si="263"/>
        <v>0.39786665145551664</v>
      </c>
      <c r="AI152" s="153">
        <f t="shared" si="264"/>
        <v>0.39786665145551664</v>
      </c>
      <c r="AJ152" s="153">
        <f t="shared" si="265"/>
        <v>1.3836049270040864</v>
      </c>
      <c r="AL152" s="317">
        <f t="shared" si="266"/>
        <v>42</v>
      </c>
      <c r="AM152" s="147">
        <f t="shared" si="267"/>
        <v>350</v>
      </c>
      <c r="AO152" s="147">
        <f t="shared" si="211"/>
        <v>42</v>
      </c>
      <c r="AP152" s="147">
        <f t="shared" si="212"/>
        <v>350</v>
      </c>
      <c r="AR152" s="5">
        <f t="shared" si="249"/>
        <v>2.8571428571428572</v>
      </c>
      <c r="AS152" s="5">
        <f t="shared" si="246"/>
        <v>1.4384409706468679</v>
      </c>
      <c r="AT152" s="5">
        <f t="shared" si="247"/>
        <v>1.4187018864959893</v>
      </c>
      <c r="AU152" s="153">
        <f t="shared" si="248"/>
        <v>0.50345433972640374</v>
      </c>
      <c r="AW152" s="5">
        <f t="shared" si="216"/>
        <v>0.40276347178112304</v>
      </c>
      <c r="AX152" s="5"/>
      <c r="AY152" s="5">
        <f t="shared" si="217"/>
        <v>0.37759075479480286</v>
      </c>
      <c r="AZ152" s="5"/>
      <c r="BA152" s="5">
        <f t="shared" si="218"/>
        <v>0.10185552005612231</v>
      </c>
      <c r="BB152" s="5"/>
      <c r="BC152" s="5"/>
      <c r="BD152" s="153">
        <f t="shared" si="219"/>
        <v>0.16298849734387547</v>
      </c>
      <c r="BE152" s="153">
        <f t="shared" si="220"/>
        <v>0.16186632503517839</v>
      </c>
      <c r="BF152" s="153">
        <f t="shared" si="221"/>
        <v>0.16207791500254462</v>
      </c>
      <c r="BG152" s="153"/>
      <c r="BH152" s="463">
        <f t="shared" si="222"/>
        <v>9.2978375932450744E-3</v>
      </c>
      <c r="BI152" s="463">
        <f t="shared" si="223"/>
        <v>1.9718271246135406E-2</v>
      </c>
      <c r="BJ152" s="463">
        <f t="shared" si="224"/>
        <v>4.3749999999999995E-3</v>
      </c>
      <c r="BK152" s="463">
        <f t="shared" si="225"/>
        <v>1.4035392000000001E-2</v>
      </c>
      <c r="BL152">
        <f t="shared" si="226"/>
        <v>3.7699999999999999E-3</v>
      </c>
      <c r="BM152">
        <f t="shared" si="268"/>
        <v>6.9999999999999999E-6</v>
      </c>
      <c r="BN152">
        <f t="shared" si="269"/>
        <v>5.2548853900330081E-2</v>
      </c>
      <c r="BO152" s="147">
        <f t="shared" si="229"/>
        <v>51.196500839380484</v>
      </c>
      <c r="BP152" s="153">
        <f t="shared" si="230"/>
        <v>1.6800000000000002E-2</v>
      </c>
      <c r="BQ152" s="153">
        <f t="shared" si="231"/>
        <v>1.6800000000000002E-2</v>
      </c>
      <c r="BR152" s="463"/>
      <c r="BT152" s="147">
        <f t="shared" si="232"/>
        <v>33.6</v>
      </c>
      <c r="BU152" s="463">
        <f t="shared" si="233"/>
        <v>2.65652502664145E-2</v>
      </c>
      <c r="BV152" s="463">
        <f t="shared" si="234"/>
        <v>2.6200707180394019E-2</v>
      </c>
      <c r="BW152" s="463">
        <f t="shared" si="235"/>
        <v>1.3134625265786041E-3</v>
      </c>
      <c r="BX152" s="463">
        <f t="shared" si="236"/>
        <v>0</v>
      </c>
      <c r="BY152" s="463">
        <f t="shared" si="180"/>
        <v>6.0832131681961998E-2</v>
      </c>
      <c r="BZ152" s="463">
        <f t="shared" si="250"/>
        <v>5.4079419973387124E-2</v>
      </c>
      <c r="CA152" s="549">
        <f t="shared" si="270"/>
        <v>2.7702127659574478E-2</v>
      </c>
      <c r="CB152" s="147">
        <f t="shared" si="238"/>
        <v>196.69309928831072</v>
      </c>
      <c r="CC152" s="153">
        <f t="shared" si="251"/>
        <v>0.17468311324186656</v>
      </c>
      <c r="CD152" s="5">
        <f t="shared" si="239"/>
        <v>1.302</v>
      </c>
      <c r="CE152" s="153">
        <f t="shared" si="240"/>
        <v>0.88170575550337793</v>
      </c>
      <c r="CF152" s="5">
        <f t="shared" si="241"/>
        <v>88.170575550337787</v>
      </c>
      <c r="CG152">
        <f t="shared" si="242"/>
        <v>42</v>
      </c>
      <c r="CI152" s="59">
        <f t="shared" si="271"/>
        <v>-50</v>
      </c>
      <c r="CJ152">
        <f t="shared" si="272"/>
        <v>-50</v>
      </c>
    </row>
    <row r="153" spans="5:88" x14ac:dyDescent="0.25">
      <c r="E153" s="150">
        <v>43</v>
      </c>
      <c r="F153" s="191">
        <f t="shared" si="273"/>
        <v>4.3000000000000003E-2</v>
      </c>
      <c r="G153" s="191">
        <f t="shared" si="252"/>
        <v>4.3000000000000003E-2</v>
      </c>
      <c r="H153" s="191">
        <f t="shared" si="253"/>
        <v>0.64500000000000002</v>
      </c>
      <c r="I153" s="191">
        <f t="shared" si="254"/>
        <v>0.68800000000000006</v>
      </c>
      <c r="J153" s="472">
        <f t="shared" si="186"/>
        <v>13</v>
      </c>
      <c r="K153" s="386">
        <f t="shared" si="187"/>
        <v>15.32</v>
      </c>
      <c r="L153" s="386">
        <f t="shared" si="188"/>
        <v>28.32</v>
      </c>
      <c r="M153" s="386"/>
      <c r="N153" s="191">
        <f t="shared" si="189"/>
        <v>0.54096045197740117</v>
      </c>
      <c r="O153" s="152">
        <f t="shared" si="255"/>
        <v>1.1484503143794424</v>
      </c>
      <c r="P153" s="152">
        <f t="shared" si="256"/>
        <v>2.5316949152542376</v>
      </c>
      <c r="Q153" s="191">
        <f t="shared" si="192"/>
        <v>7.6563354291962829E-2</v>
      </c>
      <c r="R153" s="191">
        <f t="shared" si="257"/>
        <v>7.1778144648715153E-2</v>
      </c>
      <c r="S153" s="191">
        <f t="shared" si="258"/>
        <v>15</v>
      </c>
      <c r="T153" s="191">
        <f t="shared" si="259"/>
        <v>0.4212197897837584</v>
      </c>
      <c r="U153" s="191">
        <f t="shared" si="196"/>
        <v>1.5228715476797416</v>
      </c>
      <c r="V153" s="191">
        <f t="shared" si="197"/>
        <v>1.2922539242713211</v>
      </c>
      <c r="W153" s="175">
        <f t="shared" si="198"/>
        <v>350</v>
      </c>
      <c r="X153" s="386">
        <f t="shared" si="199"/>
        <v>350</v>
      </c>
      <c r="Z153" s="191">
        <f t="shared" si="200"/>
        <v>0.42750674016451157</v>
      </c>
      <c r="AA153" s="153">
        <f t="shared" si="201"/>
        <v>1.3115415657788541</v>
      </c>
      <c r="AB153" s="153">
        <f t="shared" si="260"/>
        <v>4.7478024382677106E-2</v>
      </c>
      <c r="AC153" s="153"/>
      <c r="AD153" s="153">
        <f t="shared" si="203"/>
        <v>0.46018276762402083</v>
      </c>
      <c r="AE153" s="317">
        <f t="shared" si="261"/>
        <v>1245.8817966903077</v>
      </c>
      <c r="AF153" s="463">
        <f t="shared" si="262"/>
        <v>1.2079797650130546E-2</v>
      </c>
      <c r="AH153" s="153">
        <f t="shared" si="263"/>
        <v>0.40257529643647022</v>
      </c>
      <c r="AI153" s="153">
        <f t="shared" si="264"/>
        <v>0.40257529643647022</v>
      </c>
      <c r="AJ153" s="153">
        <f t="shared" si="265"/>
        <v>1.3870928121751631</v>
      </c>
      <c r="AL153" s="317">
        <f t="shared" si="266"/>
        <v>43</v>
      </c>
      <c r="AM153" s="147">
        <f t="shared" si="267"/>
        <v>350</v>
      </c>
      <c r="AO153" s="147">
        <f t="shared" si="211"/>
        <v>43</v>
      </c>
      <c r="AP153" s="147">
        <f t="shared" si="212"/>
        <v>350</v>
      </c>
      <c r="AR153" s="5">
        <f t="shared" si="249"/>
        <v>2.8571428571428572</v>
      </c>
      <c r="AS153" s="5">
        <f t="shared" si="246"/>
        <v>1.4554645332703153</v>
      </c>
      <c r="AT153" s="5">
        <f t="shared" si="247"/>
        <v>1.4016783238725419</v>
      </c>
      <c r="AU153" s="153">
        <f t="shared" si="248"/>
        <v>0.50941258664461031</v>
      </c>
      <c r="AW153" s="5">
        <f t="shared" si="216"/>
        <v>0.41723316620415707</v>
      </c>
      <c r="AX153" s="5"/>
      <c r="AY153" s="5">
        <f t="shared" si="217"/>
        <v>0.39115609331639728</v>
      </c>
      <c r="AZ153" s="5"/>
      <c r="BA153" s="5">
        <f t="shared" si="218"/>
        <v>0.10302934688293897</v>
      </c>
      <c r="BB153" s="5"/>
      <c r="BC153" s="5"/>
      <c r="BD153" s="153">
        <f t="shared" si="219"/>
        <v>0.16589042879761678</v>
      </c>
      <c r="BE153" s="153">
        <f t="shared" si="220"/>
        <v>0.16279636175392082</v>
      </c>
      <c r="BF153" s="153">
        <f t="shared" si="221"/>
        <v>0.16300916745555993</v>
      </c>
      <c r="BG153" s="153"/>
      <c r="BH153" s="463">
        <f t="shared" si="222"/>
        <v>9.6318720283300064E-3</v>
      </c>
      <c r="BI153" s="463">
        <f t="shared" si="223"/>
        <v>1.9951631691391466E-2</v>
      </c>
      <c r="BJ153" s="463">
        <f t="shared" si="224"/>
        <v>4.3749999999999995E-3</v>
      </c>
      <c r="BK153" s="463">
        <f t="shared" si="225"/>
        <v>1.4035392000000001E-2</v>
      </c>
      <c r="BL153">
        <f t="shared" si="226"/>
        <v>3.7699999999999999E-3</v>
      </c>
      <c r="BM153">
        <f t="shared" si="268"/>
        <v>6.9999999999999999E-6</v>
      </c>
      <c r="BN153">
        <f t="shared" si="269"/>
        <v>5.31656781275264E-2</v>
      </c>
      <c r="BO153" s="147">
        <f t="shared" si="229"/>
        <v>51.763895719721475</v>
      </c>
      <c r="BP153" s="153">
        <f t="shared" si="230"/>
        <v>1.7200000000000003E-2</v>
      </c>
      <c r="BQ153" s="153">
        <f t="shared" si="231"/>
        <v>1.7200000000000003E-2</v>
      </c>
      <c r="BR153" s="463"/>
      <c r="BT153" s="147">
        <f t="shared" si="232"/>
        <v>34.400000000000006</v>
      </c>
      <c r="BU153" s="463">
        <f t="shared" si="233"/>
        <v>2.7519634366657164E-2</v>
      </c>
      <c r="BV153" s="463">
        <f t="shared" si="234"/>
        <v>2.6502655400313452E-2</v>
      </c>
      <c r="BW153" s="463">
        <f t="shared" si="235"/>
        <v>1.3285994337277392E-3</v>
      </c>
      <c r="BX153" s="463">
        <f t="shared" si="236"/>
        <v>0</v>
      </c>
      <c r="BY153" s="463">
        <f t="shared" si="180"/>
        <v>6.2268726254187293E-2</v>
      </c>
      <c r="BZ153" s="463">
        <f t="shared" si="250"/>
        <v>5.5350889200698354E-2</v>
      </c>
      <c r="CA153" s="549">
        <f t="shared" si="270"/>
        <v>2.8361702127659587E-2</v>
      </c>
      <c r="CB153" s="147">
        <f t="shared" si="238"/>
        <v>201.33220678324361</v>
      </c>
      <c r="CC153" s="153">
        <f t="shared" si="251"/>
        <v>0.17819610650937329</v>
      </c>
      <c r="CD153" s="5">
        <f t="shared" si="239"/>
        <v>1.3330000000000002</v>
      </c>
      <c r="CE153" s="153">
        <f t="shared" si="240"/>
        <v>0.88208273847331542</v>
      </c>
      <c r="CF153" s="5">
        <f t="shared" si="241"/>
        <v>88.20827384733154</v>
      </c>
      <c r="CG153">
        <f t="shared" si="242"/>
        <v>43</v>
      </c>
      <c r="CI153" s="59">
        <f t="shared" si="271"/>
        <v>-50</v>
      </c>
      <c r="CJ153">
        <f t="shared" si="272"/>
        <v>-50</v>
      </c>
    </row>
    <row r="154" spans="5:88" x14ac:dyDescent="0.25">
      <c r="E154" s="150">
        <v>44</v>
      </c>
      <c r="F154" s="191">
        <f t="shared" si="273"/>
        <v>4.4000000000000004E-2</v>
      </c>
      <c r="G154" s="191">
        <f t="shared" si="252"/>
        <v>4.4000000000000004E-2</v>
      </c>
      <c r="H154" s="191">
        <f t="shared" si="253"/>
        <v>0.66</v>
      </c>
      <c r="I154" s="191">
        <f t="shared" si="254"/>
        <v>0.70400000000000007</v>
      </c>
      <c r="J154" s="472">
        <f t="shared" si="186"/>
        <v>13</v>
      </c>
      <c r="K154" s="386">
        <f t="shared" si="187"/>
        <v>15.32</v>
      </c>
      <c r="L154" s="386">
        <f t="shared" si="188"/>
        <v>28.32</v>
      </c>
      <c r="M154" s="386"/>
      <c r="N154" s="191">
        <f t="shared" si="189"/>
        <v>0.54096045197740117</v>
      </c>
      <c r="O154" s="152">
        <f t="shared" si="255"/>
        <v>1.1484503143794424</v>
      </c>
      <c r="P154" s="152">
        <f t="shared" si="256"/>
        <v>2.5316949152542376</v>
      </c>
      <c r="Q154" s="191">
        <f t="shared" si="192"/>
        <v>7.6563354291962829E-2</v>
      </c>
      <c r="R154" s="191">
        <f t="shared" si="257"/>
        <v>7.1778144648715153E-2</v>
      </c>
      <c r="S154" s="191">
        <f t="shared" si="258"/>
        <v>15</v>
      </c>
      <c r="T154" s="191">
        <f t="shared" si="259"/>
        <v>0.43101559884849694</v>
      </c>
      <c r="U154" s="191">
        <f t="shared" si="196"/>
        <v>1.5582871650676426</v>
      </c>
      <c r="V154" s="191">
        <f t="shared" si="197"/>
        <v>1.3223063411148404</v>
      </c>
      <c r="W154" s="175">
        <f t="shared" si="198"/>
        <v>350</v>
      </c>
      <c r="X154" s="386">
        <f t="shared" si="199"/>
        <v>347.15068191806546</v>
      </c>
      <c r="Z154" s="191">
        <f t="shared" si="200"/>
        <v>0.42750674016451157</v>
      </c>
      <c r="AA154" s="153">
        <f t="shared" si="201"/>
        <v>1.3115415657788541</v>
      </c>
      <c r="AB154" s="153">
        <f t="shared" si="260"/>
        <v>4.7478024382677106E-2</v>
      </c>
      <c r="AC154" s="153"/>
      <c r="AD154" s="153">
        <f t="shared" si="203"/>
        <v>0.46018276762402083</v>
      </c>
      <c r="AE154" s="317">
        <f t="shared" si="261"/>
        <v>1274.8557919621753</v>
      </c>
      <c r="AF154" s="463">
        <f t="shared" si="262"/>
        <v>1.2079797650130546E-2</v>
      </c>
      <c r="AH154" s="153">
        <f t="shared" si="263"/>
        <v>0.40722950072581704</v>
      </c>
      <c r="AI154" s="153">
        <f t="shared" si="264"/>
        <v>0.40722950072581704</v>
      </c>
      <c r="AJ154" s="153">
        <f t="shared" si="265"/>
        <v>1.3905403709080126</v>
      </c>
      <c r="AL154" s="317">
        <f t="shared" si="266"/>
        <v>44.000000000000007</v>
      </c>
      <c r="AM154" s="147">
        <f t="shared" si="267"/>
        <v>347.15068191806546</v>
      </c>
      <c r="AO154" s="147">
        <f t="shared" si="211"/>
        <v>44.000000000000007</v>
      </c>
      <c r="AP154" s="147">
        <f t="shared" si="212"/>
        <v>347.15068191806546</v>
      </c>
      <c r="AR154" s="5">
        <f t="shared" si="249"/>
        <v>2.8805935061824828</v>
      </c>
      <c r="AS154" s="5">
        <f t="shared" si="246"/>
        <v>1.4722912718548771</v>
      </c>
      <c r="AT154" s="5">
        <f t="shared" si="247"/>
        <v>1.4083022343276057</v>
      </c>
      <c r="AU154" s="153">
        <f t="shared" si="248"/>
        <v>0.51110691900643646</v>
      </c>
      <c r="AW154" s="5">
        <f t="shared" si="216"/>
        <v>0.43187210641076401</v>
      </c>
      <c r="AX154" s="5"/>
      <c r="AY154" s="5">
        <f t="shared" si="217"/>
        <v>0.40488009976009121</v>
      </c>
      <c r="AZ154" s="5"/>
      <c r="BA154" s="5">
        <f t="shared" si="218"/>
        <v>0.10592358685540969</v>
      </c>
      <c r="BB154" s="5"/>
      <c r="BC154" s="5"/>
      <c r="BD154" s="153">
        <f t="shared" si="219"/>
        <v>0.16808713877592052</v>
      </c>
      <c r="BE154" s="153">
        <f t="shared" si="220"/>
        <v>0.16439384375717109</v>
      </c>
      <c r="BF154" s="153">
        <f t="shared" si="221"/>
        <v>0.16460873767057915</v>
      </c>
      <c r="BG154" s="153"/>
      <c r="BH154" s="463">
        <f t="shared" si="222"/>
        <v>9.8886501776564457E-3</v>
      </c>
      <c r="BI154" s="463">
        <f t="shared" si="223"/>
        <v>2.0017991840575493E-2</v>
      </c>
      <c r="BJ154" s="463">
        <f t="shared" si="224"/>
        <v>4.3393835239758181E-3</v>
      </c>
      <c r="BK154" s="463">
        <f t="shared" si="225"/>
        <v>1.3921131153678172E-2</v>
      </c>
      <c r="BL154">
        <f t="shared" si="226"/>
        <v>3.7699999999999999E-3</v>
      </c>
      <c r="BM154">
        <f t="shared" si="268"/>
        <v>6.9430136383613095E-6</v>
      </c>
      <c r="BN154">
        <f t="shared" si="269"/>
        <v>5.3376450466566659E-2</v>
      </c>
      <c r="BO154" s="147">
        <f t="shared" si="229"/>
        <v>51.937156695885932</v>
      </c>
      <c r="BP154" s="153">
        <f t="shared" si="230"/>
        <v>1.7600000000000001E-2</v>
      </c>
      <c r="BQ154" s="153">
        <f t="shared" si="231"/>
        <v>1.7600000000000001E-2</v>
      </c>
      <c r="BR154" s="463"/>
      <c r="BT154" s="147">
        <f t="shared" si="232"/>
        <v>35.200000000000003</v>
      </c>
      <c r="BU154" s="463">
        <f t="shared" si="233"/>
        <v>2.8253286221875562E-2</v>
      </c>
      <c r="BV154" s="463">
        <f t="shared" si="234"/>
        <v>2.7025335865257179E-2</v>
      </c>
      <c r="BW154" s="463">
        <f t="shared" si="235"/>
        <v>1.3548018258750774E-3</v>
      </c>
      <c r="BX154" s="463">
        <f t="shared" si="236"/>
        <v>0</v>
      </c>
      <c r="BY154" s="463">
        <f t="shared" si="180"/>
        <v>6.3718120810312015E-2</v>
      </c>
      <c r="BZ154" s="463">
        <f t="shared" si="250"/>
        <v>5.6633423913007824E-2</v>
      </c>
      <c r="CA154" s="549">
        <f t="shared" si="270"/>
        <v>2.8785017029558747E-2</v>
      </c>
      <c r="CB154" s="147">
        <f t="shared" si="238"/>
        <v>205.76998566588642</v>
      </c>
      <c r="CC154" s="153">
        <f t="shared" si="251"/>
        <v>0.18107958830643742</v>
      </c>
      <c r="CD154" s="5">
        <f t="shared" si="239"/>
        <v>1.3640000000000001</v>
      </c>
      <c r="CE154" s="153">
        <f t="shared" si="240"/>
        <v>0.88280242022683197</v>
      </c>
      <c r="CF154" s="5">
        <f t="shared" si="241"/>
        <v>88.280242022683197</v>
      </c>
      <c r="CG154">
        <f t="shared" si="242"/>
        <v>44</v>
      </c>
      <c r="CI154" s="59">
        <f t="shared" si="271"/>
        <v>-50</v>
      </c>
      <c r="CJ154">
        <f t="shared" si="272"/>
        <v>-50</v>
      </c>
    </row>
    <row r="155" spans="5:88" x14ac:dyDescent="0.25">
      <c r="E155" s="150">
        <v>45</v>
      </c>
      <c r="F155" s="191">
        <f t="shared" si="273"/>
        <v>4.5000000000000005E-2</v>
      </c>
      <c r="G155" s="191">
        <f t="shared" si="252"/>
        <v>4.5000000000000005E-2</v>
      </c>
      <c r="H155" s="191">
        <f t="shared" si="253"/>
        <v>0.67500000000000004</v>
      </c>
      <c r="I155" s="191">
        <f t="shared" si="254"/>
        <v>0.72000000000000008</v>
      </c>
      <c r="J155" s="472">
        <f t="shared" si="186"/>
        <v>13</v>
      </c>
      <c r="K155" s="386">
        <f t="shared" si="187"/>
        <v>15.32</v>
      </c>
      <c r="L155" s="386">
        <f t="shared" si="188"/>
        <v>28.32</v>
      </c>
      <c r="M155" s="386"/>
      <c r="N155" s="191">
        <f t="shared" si="189"/>
        <v>0.54096045197740117</v>
      </c>
      <c r="O155" s="152">
        <f t="shared" si="255"/>
        <v>1.1484503143794424</v>
      </c>
      <c r="P155" s="152">
        <f t="shared" si="256"/>
        <v>2.5316949152542376</v>
      </c>
      <c r="Q155" s="191">
        <f t="shared" si="192"/>
        <v>7.6563354291962829E-2</v>
      </c>
      <c r="R155" s="191">
        <f t="shared" si="257"/>
        <v>7.1778144648715153E-2</v>
      </c>
      <c r="S155" s="191">
        <f t="shared" si="258"/>
        <v>15</v>
      </c>
      <c r="T155" s="191">
        <f t="shared" si="259"/>
        <v>0.44081140791323553</v>
      </c>
      <c r="U155" s="191">
        <f t="shared" si="196"/>
        <v>1.5937027824555439</v>
      </c>
      <c r="V155" s="191">
        <f t="shared" si="197"/>
        <v>1.3523587579583598</v>
      </c>
      <c r="W155" s="175">
        <f t="shared" si="198"/>
        <v>350</v>
      </c>
      <c r="X155" s="386">
        <f t="shared" si="199"/>
        <v>339.43622231988616</v>
      </c>
      <c r="Z155" s="191">
        <f t="shared" si="200"/>
        <v>0.42750674016451157</v>
      </c>
      <c r="AA155" s="153">
        <f t="shared" si="201"/>
        <v>1.3115415657788541</v>
      </c>
      <c r="AB155" s="153">
        <f t="shared" si="260"/>
        <v>4.7478024382677106E-2</v>
      </c>
      <c r="AC155" s="153"/>
      <c r="AD155" s="153">
        <f t="shared" si="203"/>
        <v>0.46018276762402083</v>
      </c>
      <c r="AE155" s="317">
        <f t="shared" si="261"/>
        <v>1303.8297872340429</v>
      </c>
      <c r="AF155" s="463">
        <f t="shared" si="262"/>
        <v>1.2079797650130546E-2</v>
      </c>
      <c r="AH155" s="153">
        <f t="shared" si="263"/>
        <v>0.41183111007048084</v>
      </c>
      <c r="AI155" s="153">
        <f t="shared" si="264"/>
        <v>0.41183111007048084</v>
      </c>
      <c r="AJ155" s="153">
        <f t="shared" si="265"/>
        <v>1.3939489704225783</v>
      </c>
      <c r="AL155" s="317">
        <f t="shared" si="266"/>
        <v>45.000000000000007</v>
      </c>
      <c r="AM155" s="147">
        <f t="shared" si="267"/>
        <v>339.43622231988616</v>
      </c>
      <c r="AO155" s="147">
        <f t="shared" si="211"/>
        <v>45.000000000000007</v>
      </c>
      <c r="AP155" s="147">
        <f t="shared" si="212"/>
        <v>339.43622231988616</v>
      </c>
      <c r="AR155" s="5">
        <f t="shared" si="249"/>
        <v>2.9460615404139037</v>
      </c>
      <c r="AS155" s="5">
        <f t="shared" si="246"/>
        <v>1.4889278594855846</v>
      </c>
      <c r="AT155" s="5">
        <f t="shared" si="247"/>
        <v>1.4571336809283191</v>
      </c>
      <c r="AU155" s="153">
        <f t="shared" si="248"/>
        <v>0.5053960479306211</v>
      </c>
      <c r="AW155" s="5">
        <f t="shared" si="216"/>
        <v>0.44667835784567539</v>
      </c>
      <c r="AX155" s="5"/>
      <c r="AY155" s="5">
        <f t="shared" si="217"/>
        <v>0.41876096048032069</v>
      </c>
      <c r="AZ155" s="5"/>
      <c r="BA155" s="5">
        <f t="shared" si="218"/>
        <v>0.11208720622525532</v>
      </c>
      <c r="BB155" s="5"/>
      <c r="BC155" s="5"/>
      <c r="BD155" s="153">
        <f t="shared" si="219"/>
        <v>0.16903414603974151</v>
      </c>
      <c r="BE155" s="153">
        <f t="shared" si="220"/>
        <v>0.16721965159606741</v>
      </c>
      <c r="BF155" s="153">
        <f t="shared" si="221"/>
        <v>0.16743823937593155</v>
      </c>
      <c r="BG155" s="153"/>
      <c r="BH155" s="463">
        <f t="shared" si="222"/>
        <v>1.000038988458463E-2</v>
      </c>
      <c r="BI155" s="463">
        <f t="shared" si="223"/>
        <v>1.9794320107035902E-2</v>
      </c>
      <c r="BJ155" s="463">
        <f t="shared" si="224"/>
        <v>4.2429527789985769E-3</v>
      </c>
      <c r="BK155" s="463">
        <f t="shared" si="225"/>
        <v>1.3611772683596432E-2</v>
      </c>
      <c r="BL155">
        <f t="shared" si="226"/>
        <v>3.7699999999999999E-3</v>
      </c>
      <c r="BM155">
        <f t="shared" si="268"/>
        <v>6.7887244463977233E-6</v>
      </c>
      <c r="BN155">
        <f t="shared" si="269"/>
        <v>5.287383283807786E-2</v>
      </c>
      <c r="BO155" s="147">
        <f t="shared" si="229"/>
        <v>51.419435454215538</v>
      </c>
      <c r="BP155" s="153">
        <f t="shared" si="230"/>
        <v>1.8000000000000002E-2</v>
      </c>
      <c r="BQ155" s="153">
        <f t="shared" si="231"/>
        <v>1.8000000000000002E-2</v>
      </c>
      <c r="BR155" s="463"/>
      <c r="BT155" s="147">
        <f t="shared" si="232"/>
        <v>36.000000000000007</v>
      </c>
      <c r="BU155" s="463">
        <f t="shared" si="233"/>
        <v>2.857254252738466E-2</v>
      </c>
      <c r="BV155" s="463">
        <f t="shared" si="234"/>
        <v>2.7962411879910172E-2</v>
      </c>
      <c r="BW155" s="463">
        <f t="shared" si="235"/>
        <v>1.401778200265588E-3</v>
      </c>
      <c r="BX155" s="463">
        <f t="shared" si="236"/>
        <v>0</v>
      </c>
      <c r="BY155" s="463">
        <f t="shared" si="180"/>
        <v>6.5191298185372129E-2</v>
      </c>
      <c r="BZ155" s="463">
        <f t="shared" si="250"/>
        <v>5.7936732607560423E-2</v>
      </c>
      <c r="CA155" s="549">
        <f t="shared" si="270"/>
        <v>2.8785017029558744E-2</v>
      </c>
      <c r="CB155" s="147">
        <f t="shared" si="238"/>
        <v>209.84978043005174</v>
      </c>
      <c r="CC155" s="153">
        <f t="shared" si="251"/>
        <v>0.18285014805300873</v>
      </c>
      <c r="CD155" s="5">
        <f t="shared" si="239"/>
        <v>1.395</v>
      </c>
      <c r="CE155" s="153">
        <f t="shared" si="240"/>
        <v>0.88411437659106162</v>
      </c>
      <c r="CF155" s="5">
        <f t="shared" si="241"/>
        <v>88.411437659106156</v>
      </c>
      <c r="CG155">
        <f t="shared" si="242"/>
        <v>45</v>
      </c>
      <c r="CI155" s="59">
        <f t="shared" si="271"/>
        <v>-50</v>
      </c>
      <c r="CJ155">
        <f t="shared" si="272"/>
        <v>-50</v>
      </c>
    </row>
    <row r="156" spans="5:88" s="59" customFormat="1" x14ac:dyDescent="0.25">
      <c r="E156" s="150">
        <v>46</v>
      </c>
      <c r="F156" s="191">
        <f t="shared" si="273"/>
        <v>4.6000000000000006E-2</v>
      </c>
      <c r="G156" s="191">
        <f t="shared" si="252"/>
        <v>4.6000000000000006E-2</v>
      </c>
      <c r="H156" s="191">
        <f t="shared" si="253"/>
        <v>0.69000000000000006</v>
      </c>
      <c r="I156" s="191">
        <f t="shared" si="254"/>
        <v>0.7360000000000001</v>
      </c>
      <c r="J156" s="472">
        <f t="shared" si="186"/>
        <v>13</v>
      </c>
      <c r="K156" s="386">
        <f t="shared" si="187"/>
        <v>15.32</v>
      </c>
      <c r="L156" s="386">
        <f t="shared" si="188"/>
        <v>28.32</v>
      </c>
      <c r="M156" s="386"/>
      <c r="N156" s="191">
        <f t="shared" si="189"/>
        <v>0.54096045197740117</v>
      </c>
      <c r="O156" s="152">
        <f t="shared" si="255"/>
        <v>1.1484503143794424</v>
      </c>
      <c r="P156" s="152">
        <f t="shared" si="256"/>
        <v>2.5316949152542376</v>
      </c>
      <c r="Q156" s="191">
        <f t="shared" si="192"/>
        <v>7.6563354291962829E-2</v>
      </c>
      <c r="R156" s="191">
        <f t="shared" si="257"/>
        <v>7.1778144648715153E-2</v>
      </c>
      <c r="S156" s="191">
        <f t="shared" si="258"/>
        <v>15</v>
      </c>
      <c r="T156" s="191">
        <f t="shared" si="259"/>
        <v>0.45060721697797412</v>
      </c>
      <c r="U156" s="191">
        <f t="shared" si="196"/>
        <v>1.6291183998434449</v>
      </c>
      <c r="V156" s="191">
        <f t="shared" si="197"/>
        <v>1.3824111748018788</v>
      </c>
      <c r="W156" s="175">
        <f t="shared" si="198"/>
        <v>350</v>
      </c>
      <c r="X156" s="386">
        <f t="shared" si="199"/>
        <v>332.05717400858424</v>
      </c>
      <c r="Z156" s="191">
        <f t="shared" si="200"/>
        <v>0.42750674016451157</v>
      </c>
      <c r="AA156" s="469">
        <f t="shared" si="201"/>
        <v>1.3115415657788541</v>
      </c>
      <c r="AB156" s="153">
        <f t="shared" si="260"/>
        <v>4.7478024382677106E-2</v>
      </c>
      <c r="AC156" s="469"/>
      <c r="AD156" s="469">
        <f t="shared" si="203"/>
        <v>0.46018276762402083</v>
      </c>
      <c r="AE156" s="317">
        <f t="shared" si="261"/>
        <v>1332.8037825059107</v>
      </c>
      <c r="AF156" s="463">
        <f t="shared" si="262"/>
        <v>1.2079797650130546E-2</v>
      </c>
      <c r="AH156" s="153">
        <f t="shared" si="263"/>
        <v>0.41638186821999207</v>
      </c>
      <c r="AI156" s="469">
        <f t="shared" si="264"/>
        <v>0.41638186821999207</v>
      </c>
      <c r="AJ156" s="469">
        <f t="shared" si="265"/>
        <v>1.3973199023851792</v>
      </c>
      <c r="AL156" s="491">
        <f t="shared" si="266"/>
        <v>46.000000000000007</v>
      </c>
      <c r="AM156" s="492">
        <f t="shared" si="267"/>
        <v>332.05717400858424</v>
      </c>
      <c r="AO156" s="59">
        <f t="shared" si="211"/>
        <v>46.000000000000007</v>
      </c>
      <c r="AP156" s="59">
        <f t="shared" si="212"/>
        <v>332.05717400858424</v>
      </c>
      <c r="AR156" s="170">
        <f t="shared" si="249"/>
        <v>3.0115295746453237</v>
      </c>
      <c r="AS156" s="5">
        <f t="shared" si="246"/>
        <v>1.5053806004876635</v>
      </c>
      <c r="AT156" s="5">
        <f t="shared" si="247"/>
        <v>1.5061489741576601</v>
      </c>
      <c r="AU156" s="153">
        <f t="shared" si="248"/>
        <v>0.49987242800527915</v>
      </c>
      <c r="AW156" s="5">
        <f t="shared" si="216"/>
        <v>0.46165005081621691</v>
      </c>
      <c r="AX156" s="5"/>
      <c r="AY156" s="5">
        <f t="shared" si="217"/>
        <v>0.43279692264020331</v>
      </c>
      <c r="AZ156" s="5"/>
      <c r="BA156" s="5">
        <f t="shared" si="218"/>
        <v>0.11843222702778183</v>
      </c>
      <c r="BB156" s="5"/>
      <c r="BC156" s="5"/>
      <c r="BD156" s="153">
        <f t="shared" si="219"/>
        <v>0.16996549889316703</v>
      </c>
      <c r="BE156" s="153">
        <f t="shared" si="220"/>
        <v>0.17000887010227961</v>
      </c>
      <c r="BF156" s="153">
        <f t="shared" si="221"/>
        <v>0.17023110391940677</v>
      </c>
      <c r="BG156" s="153"/>
      <c r="BH156" s="463">
        <f t="shared" si="222"/>
        <v>1.0110894784901106E-2</v>
      </c>
      <c r="BI156" s="463">
        <f t="shared" si="223"/>
        <v>1.9577982244087615E-2</v>
      </c>
      <c r="BJ156" s="463">
        <f t="shared" si="224"/>
        <v>4.1507146751073032E-3</v>
      </c>
      <c r="BK156" s="463">
        <f t="shared" si="225"/>
        <v>1.3315864581779118E-2</v>
      </c>
      <c r="BL156">
        <f t="shared" si="226"/>
        <v>3.7699999999999999E-3</v>
      </c>
      <c r="BM156">
        <f t="shared" si="268"/>
        <v>6.6411434801716851E-6</v>
      </c>
      <c r="BN156">
        <f t="shared" si="269"/>
        <v>5.2394808649661583E-2</v>
      </c>
      <c r="BO156" s="147">
        <f t="shared" si="229"/>
        <v>50.925456285875143</v>
      </c>
      <c r="BP156" s="153">
        <f t="shared" si="230"/>
        <v>1.8400000000000003E-2</v>
      </c>
      <c r="BQ156" s="153">
        <f t="shared" si="231"/>
        <v>1.8400000000000003E-2</v>
      </c>
      <c r="BR156" s="463"/>
      <c r="BS156"/>
      <c r="BT156" s="147">
        <f t="shared" si="232"/>
        <v>36.800000000000004</v>
      </c>
      <c r="BU156" s="463">
        <f t="shared" si="233"/>
        <v>2.8888270814003164E-2</v>
      </c>
      <c r="BV156" s="463">
        <f t="shared" si="234"/>
        <v>2.8903015913453782E-2</v>
      </c>
      <c r="BW156" s="463">
        <f t="shared" si="235"/>
        <v>1.4489314370809935E-3</v>
      </c>
      <c r="BX156" s="463">
        <f t="shared" si="236"/>
        <v>0</v>
      </c>
      <c r="BY156" s="463">
        <f t="shared" si="180"/>
        <v>6.6664984200922359E-2</v>
      </c>
      <c r="BZ156" s="463">
        <f t="shared" si="250"/>
        <v>5.9240218164537936E-2</v>
      </c>
      <c r="CA156" s="549">
        <f t="shared" si="270"/>
        <v>2.8785017029558737E-2</v>
      </c>
      <c r="CB156" s="147">
        <f t="shared" si="238"/>
        <v>213.93043755955696</v>
      </c>
      <c r="CC156" s="153">
        <f t="shared" si="251"/>
        <v>0.18464480988014267</v>
      </c>
      <c r="CD156" s="5">
        <f t="shared" si="239"/>
        <v>1.4260000000000002</v>
      </c>
      <c r="CE156" s="153">
        <f t="shared" si="240"/>
        <v>0.88535969647219537</v>
      </c>
      <c r="CF156" s="5">
        <f t="shared" si="241"/>
        <v>88.535969647219531</v>
      </c>
      <c r="CG156">
        <f t="shared" si="242"/>
        <v>46</v>
      </c>
      <c r="CI156" s="59">
        <f t="shared" si="271"/>
        <v>-50</v>
      </c>
      <c r="CJ156">
        <f t="shared" si="272"/>
        <v>-50</v>
      </c>
    </row>
    <row r="157" spans="5:88" x14ac:dyDescent="0.25">
      <c r="E157" s="150">
        <v>47</v>
      </c>
      <c r="F157" s="191">
        <f t="shared" si="273"/>
        <v>4.7E-2</v>
      </c>
      <c r="G157" s="191">
        <f t="shared" si="252"/>
        <v>4.7E-2</v>
      </c>
      <c r="H157" s="191">
        <f t="shared" si="253"/>
        <v>0.70499999999999996</v>
      </c>
      <c r="I157" s="191">
        <f t="shared" si="254"/>
        <v>0.752</v>
      </c>
      <c r="J157" s="472">
        <f t="shared" si="186"/>
        <v>13</v>
      </c>
      <c r="K157" s="386">
        <f t="shared" si="187"/>
        <v>15.32</v>
      </c>
      <c r="L157" s="386">
        <f t="shared" si="188"/>
        <v>28.32</v>
      </c>
      <c r="M157" s="386"/>
      <c r="N157" s="191">
        <f t="shared" si="189"/>
        <v>0.54096045197740117</v>
      </c>
      <c r="O157" s="152">
        <f t="shared" si="255"/>
        <v>1.1484503143794424</v>
      </c>
      <c r="P157" s="152">
        <f t="shared" si="256"/>
        <v>2.5316949152542376</v>
      </c>
      <c r="Q157" s="191">
        <f t="shared" si="192"/>
        <v>7.6563354291962829E-2</v>
      </c>
      <c r="R157" s="191">
        <f t="shared" si="257"/>
        <v>7.1778144648715153E-2</v>
      </c>
      <c r="S157" s="191">
        <f t="shared" si="258"/>
        <v>15</v>
      </c>
      <c r="T157" s="191">
        <f t="shared" si="259"/>
        <v>0.4604030260427126</v>
      </c>
      <c r="U157" s="191">
        <f t="shared" si="196"/>
        <v>1.6645340172313454</v>
      </c>
      <c r="V157" s="191">
        <f t="shared" si="197"/>
        <v>1.4124635916453976</v>
      </c>
      <c r="W157" s="175">
        <f t="shared" si="198"/>
        <v>350</v>
      </c>
      <c r="X157" s="386">
        <f t="shared" si="199"/>
        <v>324.99212775308251</v>
      </c>
      <c r="Z157" s="191">
        <f t="shared" si="200"/>
        <v>0.42750674016451157</v>
      </c>
      <c r="AA157" s="153">
        <f t="shared" si="201"/>
        <v>1.3115415657788541</v>
      </c>
      <c r="AB157" s="153">
        <f t="shared" si="260"/>
        <v>4.7478024382677106E-2</v>
      </c>
      <c r="AC157" s="153"/>
      <c r="AD157" s="153">
        <f t="shared" si="203"/>
        <v>0.46018276762402083</v>
      </c>
      <c r="AE157" s="317">
        <f t="shared" si="261"/>
        <v>1361.7777777777781</v>
      </c>
      <c r="AF157" s="463">
        <f t="shared" si="262"/>
        <v>1.2079797650130546E-2</v>
      </c>
      <c r="AH157" s="153">
        <f t="shared" si="263"/>
        <v>0.42088342464732098</v>
      </c>
      <c r="AI157" s="153">
        <f t="shared" si="264"/>
        <v>0.42088342464732098</v>
      </c>
      <c r="AJ157" s="153">
        <f t="shared" si="265"/>
        <v>1.400654388627645</v>
      </c>
      <c r="AL157" s="317">
        <f t="shared" si="266"/>
        <v>47</v>
      </c>
      <c r="AM157" s="147">
        <f t="shared" si="267"/>
        <v>324.99212775308251</v>
      </c>
      <c r="AO157">
        <f t="shared" si="211"/>
        <v>47</v>
      </c>
      <c r="AP157">
        <f t="shared" si="212"/>
        <v>324.99212775308251</v>
      </c>
      <c r="AR157" s="5">
        <f t="shared" si="249"/>
        <v>3.0769976088767432</v>
      </c>
      <c r="AS157" s="5">
        <f t="shared" si="246"/>
        <v>1.5216554583403141</v>
      </c>
      <c r="AT157" s="5">
        <f t="shared" si="247"/>
        <v>1.5553421505364291</v>
      </c>
      <c r="AU157" s="153">
        <f t="shared" si="248"/>
        <v>0.49452604511311071</v>
      </c>
      <c r="AW157" s="5">
        <f t="shared" si="216"/>
        <v>0.4767853769466317</v>
      </c>
      <c r="AX157" s="5"/>
      <c r="AY157" s="5">
        <f t="shared" si="217"/>
        <v>0.44698629088746722</v>
      </c>
      <c r="AZ157" s="5"/>
      <c r="BA157" s="5">
        <f t="shared" si="218"/>
        <v>0.12495911294908062</v>
      </c>
      <c r="BB157" s="5"/>
      <c r="BC157" s="5"/>
      <c r="BD157" s="153">
        <f t="shared" si="219"/>
        <v>0.17088178814889735</v>
      </c>
      <c r="BE157" s="153">
        <f t="shared" si="220"/>
        <v>0.1727629402581885</v>
      </c>
      <c r="BF157" s="153">
        <f t="shared" si="221"/>
        <v>0.17298877416702274</v>
      </c>
      <c r="BG157" s="153"/>
      <c r="BH157" s="463">
        <f t="shared" si="222"/>
        <v>1.022020493233762E-2</v>
      </c>
      <c r="BI157" s="463">
        <f t="shared" si="223"/>
        <v>1.9368586039238602E-2</v>
      </c>
      <c r="BJ157" s="463">
        <f t="shared" si="224"/>
        <v>4.0624015969135318E-3</v>
      </c>
      <c r="BK157" s="463">
        <f t="shared" si="225"/>
        <v>1.3032548314081693E-2</v>
      </c>
      <c r="BL157">
        <f t="shared" si="226"/>
        <v>3.7699999999999999E-3</v>
      </c>
      <c r="BM157">
        <f t="shared" si="268"/>
        <v>6.4998425550616508E-6</v>
      </c>
      <c r="BN157">
        <f t="shared" si="269"/>
        <v>5.1937903947068632E-2</v>
      </c>
      <c r="BO157" s="147">
        <f t="shared" si="229"/>
        <v>50.453740882571452</v>
      </c>
      <c r="BP157" s="153">
        <f t="shared" si="230"/>
        <v>1.8800000000000001E-2</v>
      </c>
      <c r="BQ157" s="153">
        <f t="shared" si="231"/>
        <v>1.8800000000000001E-2</v>
      </c>
      <c r="BR157" s="463"/>
      <c r="BT157" s="147">
        <f t="shared" si="232"/>
        <v>37.6</v>
      </c>
      <c r="BU157" s="463">
        <f t="shared" si="233"/>
        <v>2.9200585520964634E-2</v>
      </c>
      <c r="BV157" s="463">
        <f t="shared" si="234"/>
        <v>2.984703352665441E-2</v>
      </c>
      <c r="BW157" s="463">
        <f t="shared" si="235"/>
        <v>1.4962557993904598E-3</v>
      </c>
      <c r="BX157" s="463">
        <f t="shared" si="236"/>
        <v>0</v>
      </c>
      <c r="BY157" s="463">
        <f t="shared" si="180"/>
        <v>6.8139172591656097E-2</v>
      </c>
      <c r="BZ157" s="463">
        <f t="shared" si="250"/>
        <v>6.0543874847009502E-2</v>
      </c>
      <c r="CA157" s="549">
        <f t="shared" si="270"/>
        <v>2.878501702955874E-2</v>
      </c>
      <c r="CB157" s="147">
        <f t="shared" si="238"/>
        <v>218.01193931523386</v>
      </c>
      <c r="CC157" s="153">
        <f t="shared" si="251"/>
        <v>0.18646209356828347</v>
      </c>
      <c r="CD157" s="5">
        <f t="shared" si="239"/>
        <v>1.4569999999999999</v>
      </c>
      <c r="CE157" s="153">
        <f t="shared" si="240"/>
        <v>0.88654311267780006</v>
      </c>
      <c r="CF157" s="5">
        <f t="shared" si="241"/>
        <v>88.654311267780002</v>
      </c>
      <c r="CG157">
        <f t="shared" si="242"/>
        <v>47</v>
      </c>
      <c r="CI157" s="59">
        <f t="shared" si="271"/>
        <v>-50</v>
      </c>
      <c r="CJ157">
        <f t="shared" si="272"/>
        <v>-50</v>
      </c>
    </row>
    <row r="158" spans="5:88" x14ac:dyDescent="0.25">
      <c r="E158" s="150">
        <v>48</v>
      </c>
      <c r="F158" s="191">
        <f t="shared" si="273"/>
        <v>4.8000000000000001E-2</v>
      </c>
      <c r="G158" s="191">
        <f t="shared" si="252"/>
        <v>4.8000000000000001E-2</v>
      </c>
      <c r="H158" s="191">
        <f t="shared" si="253"/>
        <v>0.72</v>
      </c>
      <c r="I158" s="191">
        <f t="shared" si="254"/>
        <v>0.76800000000000002</v>
      </c>
      <c r="J158" s="472">
        <f t="shared" si="186"/>
        <v>13</v>
      </c>
      <c r="K158" s="386">
        <f t="shared" si="187"/>
        <v>15.32</v>
      </c>
      <c r="L158" s="386">
        <f t="shared" si="188"/>
        <v>28.32</v>
      </c>
      <c r="M158" s="386"/>
      <c r="N158" s="191">
        <f t="shared" si="189"/>
        <v>0.54096045197740117</v>
      </c>
      <c r="O158" s="152">
        <f t="shared" si="255"/>
        <v>1.1484503143794424</v>
      </c>
      <c r="P158" s="152">
        <f t="shared" si="256"/>
        <v>2.5316949152542376</v>
      </c>
      <c r="Q158" s="191">
        <f t="shared" si="192"/>
        <v>7.6563354291962829E-2</v>
      </c>
      <c r="R158" s="191">
        <f t="shared" si="257"/>
        <v>7.1778144648715153E-2</v>
      </c>
      <c r="S158" s="191">
        <f t="shared" si="258"/>
        <v>15</v>
      </c>
      <c r="T158" s="191">
        <f t="shared" si="259"/>
        <v>0.4701988351074512</v>
      </c>
      <c r="U158" s="191">
        <f t="shared" si="196"/>
        <v>1.6999496346192466</v>
      </c>
      <c r="V158" s="191">
        <f t="shared" si="197"/>
        <v>1.4425160084889168</v>
      </c>
      <c r="W158" s="175">
        <f t="shared" si="198"/>
        <v>350</v>
      </c>
      <c r="X158" s="386">
        <f t="shared" si="199"/>
        <v>318.22145842489323</v>
      </c>
      <c r="Z158" s="191">
        <f t="shared" si="200"/>
        <v>0.42750674016451157</v>
      </c>
      <c r="AA158" s="153">
        <f t="shared" si="201"/>
        <v>1.3115415657788541</v>
      </c>
      <c r="AB158" s="153">
        <f t="shared" si="260"/>
        <v>4.7478024382677106E-2</v>
      </c>
      <c r="AC158" s="153"/>
      <c r="AD158" s="153">
        <f t="shared" si="203"/>
        <v>0.46018276762402083</v>
      </c>
      <c r="AE158" s="317">
        <f t="shared" si="261"/>
        <v>1390.7517730496459</v>
      </c>
      <c r="AF158" s="463">
        <f t="shared" si="262"/>
        <v>1.2079797650130546E-2</v>
      </c>
      <c r="AH158" s="153">
        <f t="shared" si="263"/>
        <v>0.42533734153415625</v>
      </c>
      <c r="AI158" s="153">
        <f t="shared" si="264"/>
        <v>0.4701988351074512</v>
      </c>
      <c r="AJ158" s="153">
        <f t="shared" si="265"/>
        <v>1.4371843223018157</v>
      </c>
      <c r="AL158" s="317">
        <f t="shared" si="266"/>
        <v>48</v>
      </c>
      <c r="AM158" s="147">
        <f t="shared" si="267"/>
        <v>318.22145842489323</v>
      </c>
      <c r="AO158">
        <f t="shared" si="211"/>
        <v>48</v>
      </c>
      <c r="AP158">
        <f t="shared" si="212"/>
        <v>318.22145842489323</v>
      </c>
      <c r="AR158" s="5">
        <f t="shared" si="249"/>
        <v>3.1424656431081641</v>
      </c>
      <c r="AS158" s="5">
        <f t="shared" si="246"/>
        <v>1.6999496346192466</v>
      </c>
      <c r="AT158" s="5">
        <f t="shared" si="247"/>
        <v>1.4425160084889175</v>
      </c>
      <c r="AU158" s="153">
        <f t="shared" si="248"/>
        <v>0.54096045197740106</v>
      </c>
      <c r="AW158" s="5">
        <f t="shared" si="216"/>
        <v>0.54398388307815893</v>
      </c>
      <c r="AX158" s="5"/>
      <c r="AY158" s="5">
        <f t="shared" si="217"/>
        <v>0.50998489038577399</v>
      </c>
      <c r="AZ158" s="5"/>
      <c r="BA158" s="5">
        <f t="shared" si="218"/>
        <v>0.11836028787601373</v>
      </c>
      <c r="BB158" s="5"/>
      <c r="BC158" s="5"/>
      <c r="BD158" s="153">
        <f t="shared" si="219"/>
        <v>0.19966579864256148</v>
      </c>
      <c r="BE158" s="153">
        <f t="shared" si="220"/>
        <v>0.18392720579411151</v>
      </c>
      <c r="BF158" s="153">
        <f t="shared" si="221"/>
        <v>0.18416763351410378</v>
      </c>
      <c r="BG158" s="153"/>
      <c r="BH158" s="463">
        <f t="shared" si="222"/>
        <v>1.3953250901650166E-2</v>
      </c>
      <c r="BI158" s="463">
        <f t="shared" si="223"/>
        <v>2.1187234042553186E-2</v>
      </c>
      <c r="BJ158" s="463">
        <f t="shared" si="224"/>
        <v>3.9777682303111647E-3</v>
      </c>
      <c r="BK158" s="463">
        <f t="shared" si="225"/>
        <v>1.2761036890871654E-2</v>
      </c>
      <c r="BL158">
        <f t="shared" si="226"/>
        <v>3.7699999999999999E-3</v>
      </c>
      <c r="BM158">
        <f t="shared" si="268"/>
        <v>6.3644291684978643E-6</v>
      </c>
      <c r="BN158">
        <f t="shared" si="269"/>
        <v>5.7687853522152222E-2</v>
      </c>
      <c r="BO158" s="147">
        <f t="shared" si="229"/>
        <v>55.649290065386182</v>
      </c>
      <c r="BP158" s="153">
        <f t="shared" si="230"/>
        <v>1.9200000000000002E-2</v>
      </c>
      <c r="BQ158" s="153">
        <f t="shared" si="231"/>
        <v>1.9200000000000002E-2</v>
      </c>
      <c r="BR158" s="463"/>
      <c r="BT158" s="147">
        <f t="shared" si="232"/>
        <v>38.400000000000006</v>
      </c>
      <c r="BU158" s="463">
        <f t="shared" si="233"/>
        <v>3.9866431147571907E-2</v>
      </c>
      <c r="BV158" s="463">
        <f t="shared" si="234"/>
        <v>3.3829217031229444E-2</v>
      </c>
      <c r="BW158" s="463">
        <f t="shared" si="235"/>
        <v>1.6958858617092622E-3</v>
      </c>
      <c r="BX158" s="463">
        <f t="shared" si="236"/>
        <v>0</v>
      </c>
      <c r="BY158" s="463">
        <f t="shared" si="180"/>
        <v>8.4950884324356796E-2</v>
      </c>
      <c r="BZ158" s="463">
        <f t="shared" si="250"/>
        <v>7.5391534040510619E-2</v>
      </c>
      <c r="CA158" s="549">
        <f t="shared" si="270"/>
        <v>3.5177304964538997E-2</v>
      </c>
      <c r="CB158" s="147">
        <f t="shared" si="238"/>
        <v>270.91125736991705</v>
      </c>
      <c r="CC158" s="153">
        <f t="shared" si="251"/>
        <v>0.216216042811048</v>
      </c>
      <c r="CD158" s="5">
        <f t="shared" si="239"/>
        <v>1.488</v>
      </c>
      <c r="CE158" s="153">
        <f t="shared" si="240"/>
        <v>0.8731287363928304</v>
      </c>
      <c r="CF158" s="5">
        <f t="shared" si="241"/>
        <v>87.31287363928304</v>
      </c>
      <c r="CG158">
        <f t="shared" si="242"/>
        <v>48</v>
      </c>
      <c r="CI158" s="59">
        <f t="shared" si="271"/>
        <v>-50</v>
      </c>
      <c r="CJ158">
        <f t="shared" si="272"/>
        <v>-50</v>
      </c>
    </row>
    <row r="159" spans="5:88" x14ac:dyDescent="0.25">
      <c r="E159" s="150">
        <v>49</v>
      </c>
      <c r="F159" s="191">
        <f t="shared" si="273"/>
        <v>4.9000000000000002E-2</v>
      </c>
      <c r="G159" s="191">
        <f t="shared" si="252"/>
        <v>4.9000000000000002E-2</v>
      </c>
      <c r="H159" s="191">
        <f t="shared" si="253"/>
        <v>0.73499999999999999</v>
      </c>
      <c r="I159" s="191">
        <f t="shared" si="254"/>
        <v>0.78400000000000003</v>
      </c>
      <c r="J159" s="472">
        <f t="shared" si="186"/>
        <v>13</v>
      </c>
      <c r="K159" s="386">
        <f t="shared" si="187"/>
        <v>15.32</v>
      </c>
      <c r="L159" s="386">
        <f t="shared" si="188"/>
        <v>28.32</v>
      </c>
      <c r="M159" s="386"/>
      <c r="N159" s="191">
        <f t="shared" si="189"/>
        <v>0.54096045197740117</v>
      </c>
      <c r="O159" s="152">
        <f t="shared" si="255"/>
        <v>1.1484503143794424</v>
      </c>
      <c r="P159" s="152">
        <f t="shared" si="256"/>
        <v>2.5316949152542376</v>
      </c>
      <c r="Q159" s="191">
        <f t="shared" si="192"/>
        <v>7.6563354291962829E-2</v>
      </c>
      <c r="R159" s="191">
        <f t="shared" si="257"/>
        <v>7.1778144648715153E-2</v>
      </c>
      <c r="S159" s="191">
        <f t="shared" si="258"/>
        <v>15</v>
      </c>
      <c r="T159" s="191">
        <f t="shared" si="259"/>
        <v>0.47999464417218979</v>
      </c>
      <c r="U159" s="191">
        <f t="shared" si="196"/>
        <v>1.7353652520071476</v>
      </c>
      <c r="V159" s="191">
        <f t="shared" si="197"/>
        <v>1.4725684253324358</v>
      </c>
      <c r="W159" s="175">
        <f t="shared" si="198"/>
        <v>350</v>
      </c>
      <c r="X159" s="386">
        <f t="shared" si="199"/>
        <v>311.72714294683431</v>
      </c>
      <c r="Z159" s="191">
        <f t="shared" si="200"/>
        <v>0.42750674016451157</v>
      </c>
      <c r="AA159" s="153">
        <f t="shared" si="201"/>
        <v>1.3115415657788541</v>
      </c>
      <c r="AB159" s="153">
        <f t="shared" si="260"/>
        <v>4.7478024382677106E-2</v>
      </c>
      <c r="AC159" s="153"/>
      <c r="AD159" s="153">
        <f t="shared" si="203"/>
        <v>0.46018276762402083</v>
      </c>
      <c r="AE159" s="317">
        <f t="shared" si="261"/>
        <v>1419.7257683215132</v>
      </c>
      <c r="AF159" s="463">
        <f t="shared" si="262"/>
        <v>1.2079797650130546E-2</v>
      </c>
      <c r="AH159" s="153">
        <f t="shared" si="263"/>
        <v>0.42974510010450356</v>
      </c>
      <c r="AI159" s="153">
        <f t="shared" si="264"/>
        <v>0.47999464417218979</v>
      </c>
      <c r="AJ159" s="153">
        <f t="shared" si="265"/>
        <v>1.4444404771645849</v>
      </c>
      <c r="AL159" s="317">
        <f t="shared" si="266"/>
        <v>49</v>
      </c>
      <c r="AM159" s="147">
        <f t="shared" si="267"/>
        <v>311.72714294683431</v>
      </c>
      <c r="AO159">
        <f t="shared" si="211"/>
        <v>49</v>
      </c>
      <c r="AP159">
        <f t="shared" si="212"/>
        <v>311.72714294683431</v>
      </c>
      <c r="AR159" s="5">
        <f t="shared" si="249"/>
        <v>3.2079336773395828</v>
      </c>
      <c r="AS159" s="5">
        <f t="shared" si="246"/>
        <v>1.7353652520071476</v>
      </c>
      <c r="AT159" s="5">
        <f t="shared" si="247"/>
        <v>1.4725684253324351</v>
      </c>
      <c r="AU159" s="153">
        <f t="shared" si="248"/>
        <v>0.54096045197740128</v>
      </c>
      <c r="AW159" s="5">
        <f t="shared" si="216"/>
        <v>0.56688598232233489</v>
      </c>
      <c r="AX159" s="5"/>
      <c r="AY159" s="5">
        <f t="shared" si="217"/>
        <v>0.53145560842718897</v>
      </c>
      <c r="AZ159" s="5"/>
      <c r="BA159" s="5">
        <f t="shared" si="218"/>
        <v>0.12334333819023817</v>
      </c>
      <c r="BB159" s="5"/>
      <c r="BC159" s="5"/>
      <c r="BD159" s="153">
        <f t="shared" si="219"/>
        <v>0.20382550278094824</v>
      </c>
      <c r="BE159" s="153">
        <f t="shared" si="220"/>
        <v>0.1877590225814888</v>
      </c>
      <c r="BF159" s="153">
        <f t="shared" si="221"/>
        <v>0.18800445921231426</v>
      </c>
      <c r="BG159" s="153"/>
      <c r="BH159" s="463">
        <f t="shared" si="222"/>
        <v>1.4540692454367218E-2</v>
      </c>
      <c r="BI159" s="463">
        <f t="shared" si="223"/>
        <v>2.11872340425532E-2</v>
      </c>
      <c r="BJ159" s="463">
        <f t="shared" si="224"/>
        <v>3.8965892868354289E-3</v>
      </c>
      <c r="BK159" s="463">
        <f t="shared" si="225"/>
        <v>1.2500607566568156E-2</v>
      </c>
      <c r="BL159">
        <f t="shared" si="226"/>
        <v>3.7699999999999999E-3</v>
      </c>
      <c r="BM159">
        <f t="shared" si="268"/>
        <v>6.2345428589366859E-6</v>
      </c>
      <c r="BN159">
        <f t="shared" si="269"/>
        <v>5.8020004993026945E-2</v>
      </c>
      <c r="BO159" s="147">
        <f t="shared" si="229"/>
        <v>55.895123350324006</v>
      </c>
      <c r="BP159" s="153">
        <f t="shared" si="230"/>
        <v>1.9600000000000003E-2</v>
      </c>
      <c r="BQ159" s="153">
        <f t="shared" si="231"/>
        <v>1.9600000000000003E-2</v>
      </c>
      <c r="BR159" s="463"/>
      <c r="BT159" s="147">
        <f t="shared" si="232"/>
        <v>39.200000000000003</v>
      </c>
      <c r="BU159" s="463">
        <f t="shared" si="233"/>
        <v>4.1544835583906342E-2</v>
      </c>
      <c r="BV159" s="463">
        <f t="shared" si="234"/>
        <v>3.5253450560756024E-2</v>
      </c>
      <c r="BW159" s="463">
        <f t="shared" si="235"/>
        <v>1.7672838341857369E-3</v>
      </c>
      <c r="BX159" s="463">
        <f t="shared" si="236"/>
        <v>0</v>
      </c>
      <c r="BY159" s="463">
        <f t="shared" si="180"/>
        <v>8.8549996854268342E-2</v>
      </c>
      <c r="BZ159" s="463">
        <f t="shared" si="250"/>
        <v>7.8565569978848102E-2</v>
      </c>
      <c r="CA159" s="549">
        <f t="shared" si="270"/>
        <v>3.5910165484633577E-2</v>
      </c>
      <c r="CB159" s="147">
        <f t="shared" si="238"/>
        <v>281.59130229659814</v>
      </c>
      <c r="CC159" s="153">
        <f t="shared" si="251"/>
        <v>0.22168016733192888</v>
      </c>
      <c r="CD159" s="5">
        <f t="shared" si="239"/>
        <v>1.5190000000000001</v>
      </c>
      <c r="CE159" s="153">
        <f t="shared" si="240"/>
        <v>0.87264738721547297</v>
      </c>
      <c r="CF159" s="5">
        <f t="shared" si="241"/>
        <v>87.264738721547303</v>
      </c>
      <c r="CG159">
        <f t="shared" si="242"/>
        <v>49</v>
      </c>
      <c r="CI159" s="59">
        <f t="shared" si="271"/>
        <v>-50</v>
      </c>
      <c r="CJ159">
        <f t="shared" si="272"/>
        <v>-50</v>
      </c>
    </row>
    <row r="160" spans="5:88" x14ac:dyDescent="0.25">
      <c r="E160" s="150">
        <v>50</v>
      </c>
      <c r="F160" s="191">
        <f t="shared" si="273"/>
        <v>0.05</v>
      </c>
      <c r="G160" s="191">
        <f t="shared" si="252"/>
        <v>0.05</v>
      </c>
      <c r="H160" s="191">
        <f t="shared" si="253"/>
        <v>0.75</v>
      </c>
      <c r="I160" s="191">
        <f t="shared" si="254"/>
        <v>0.8</v>
      </c>
      <c r="J160" s="472">
        <f t="shared" si="186"/>
        <v>13</v>
      </c>
      <c r="K160" s="386">
        <f t="shared" si="187"/>
        <v>15.32</v>
      </c>
      <c r="L160" s="386">
        <f t="shared" si="188"/>
        <v>28.32</v>
      </c>
      <c r="M160" s="386"/>
      <c r="N160" s="191">
        <f t="shared" si="189"/>
        <v>0.54096045197740117</v>
      </c>
      <c r="O160" s="152">
        <f t="shared" si="255"/>
        <v>1.1484503143794424</v>
      </c>
      <c r="P160" s="152">
        <f t="shared" si="256"/>
        <v>2.5316949152542376</v>
      </c>
      <c r="Q160" s="191">
        <f t="shared" si="192"/>
        <v>7.6563354291962829E-2</v>
      </c>
      <c r="R160" s="191">
        <f t="shared" si="257"/>
        <v>7.1778144648715153E-2</v>
      </c>
      <c r="S160" s="191">
        <f t="shared" si="258"/>
        <v>15</v>
      </c>
      <c r="T160" s="191">
        <f t="shared" si="259"/>
        <v>0.48979045323692832</v>
      </c>
      <c r="U160" s="191">
        <f t="shared" si="196"/>
        <v>1.7707808693950484</v>
      </c>
      <c r="V160" s="191">
        <f t="shared" si="197"/>
        <v>1.5026208421759548</v>
      </c>
      <c r="W160" s="175">
        <f t="shared" si="198"/>
        <v>350</v>
      </c>
      <c r="X160" s="386">
        <f t="shared" si="199"/>
        <v>305.49260008789759</v>
      </c>
      <c r="Z160" s="191">
        <f t="shared" si="200"/>
        <v>0.42750674016451157</v>
      </c>
      <c r="AA160" s="153">
        <f t="shared" si="201"/>
        <v>1.3115415657788541</v>
      </c>
      <c r="AB160" s="153">
        <f t="shared" si="260"/>
        <v>4.7478024382677106E-2</v>
      </c>
      <c r="AC160" s="153"/>
      <c r="AD160" s="153">
        <f t="shared" si="203"/>
        <v>0.46018276762402083</v>
      </c>
      <c r="AE160" s="317">
        <f t="shared" si="261"/>
        <v>1448.699763593381</v>
      </c>
      <c r="AF160" s="463">
        <f t="shared" si="262"/>
        <v>1.2079797650130546E-2</v>
      </c>
      <c r="AH160" s="153">
        <f t="shared" si="263"/>
        <v>0.43410810637940883</v>
      </c>
      <c r="AI160" s="153">
        <f t="shared" si="264"/>
        <v>0.48979045323692832</v>
      </c>
      <c r="AJ160" s="153">
        <f t="shared" si="265"/>
        <v>1.4516966320273543</v>
      </c>
      <c r="AL160" s="317">
        <f t="shared" si="266"/>
        <v>50</v>
      </c>
      <c r="AM160" s="147">
        <f t="shared" si="267"/>
        <v>305.49260008789759</v>
      </c>
      <c r="AO160">
        <f t="shared" si="211"/>
        <v>50</v>
      </c>
      <c r="AP160">
        <f t="shared" si="212"/>
        <v>305.49260008789759</v>
      </c>
      <c r="AR160" s="5">
        <f t="shared" si="249"/>
        <v>3.2734017115710037</v>
      </c>
      <c r="AS160" s="5">
        <f t="shared" si="246"/>
        <v>1.7707808693950484</v>
      </c>
      <c r="AT160" s="5">
        <f t="shared" si="247"/>
        <v>1.5026208421759553</v>
      </c>
      <c r="AU160" s="153">
        <f t="shared" si="248"/>
        <v>0.54096045197740106</v>
      </c>
      <c r="AW160" s="5">
        <f t="shared" si="216"/>
        <v>0.59026028979834955</v>
      </c>
      <c r="AX160" s="5"/>
      <c r="AY160" s="5">
        <f t="shared" si="217"/>
        <v>0.5533690216859527</v>
      </c>
      <c r="AZ160" s="5"/>
      <c r="BA160" s="5">
        <f t="shared" si="218"/>
        <v>0.1284291318099107</v>
      </c>
      <c r="BB160" s="5"/>
      <c r="BC160" s="5"/>
      <c r="BD160" s="153">
        <f t="shared" si="219"/>
        <v>0.20798520691933489</v>
      </c>
      <c r="BE160" s="153">
        <f t="shared" si="220"/>
        <v>0.19159083936886614</v>
      </c>
      <c r="BF160" s="153">
        <f t="shared" si="221"/>
        <v>0.1918412849105248</v>
      </c>
      <c r="BG160" s="153"/>
      <c r="BH160" s="463">
        <f t="shared" si="222"/>
        <v>1.5140246204047492E-2</v>
      </c>
      <c r="BI160" s="463">
        <f t="shared" si="223"/>
        <v>2.1187234042553193E-2</v>
      </c>
      <c r="BJ160" s="463">
        <f t="shared" si="224"/>
        <v>3.8186575010987194E-3</v>
      </c>
      <c r="BK160" s="463">
        <f t="shared" si="225"/>
        <v>1.2250595415236791E-2</v>
      </c>
      <c r="BL160">
        <f t="shared" si="226"/>
        <v>3.7699999999999999E-3</v>
      </c>
      <c r="BM160">
        <f t="shared" si="268"/>
        <v>6.1098520017579518E-6</v>
      </c>
      <c r="BN160">
        <f t="shared" si="269"/>
        <v>5.8379853099426789E-2</v>
      </c>
      <c r="BO160" s="147">
        <f t="shared" si="229"/>
        <v>56.166733162936204</v>
      </c>
      <c r="BP160" s="153">
        <f t="shared" si="230"/>
        <v>2.0000000000000004E-2</v>
      </c>
      <c r="BQ160" s="153">
        <f t="shared" si="231"/>
        <v>2.0000000000000004E-2</v>
      </c>
      <c r="BR160" s="463"/>
      <c r="BT160" s="147">
        <f t="shared" si="232"/>
        <v>40.000000000000007</v>
      </c>
      <c r="BU160" s="463">
        <f t="shared" si="233"/>
        <v>4.3257846297278552E-2</v>
      </c>
      <c r="BV160" s="463">
        <f t="shared" si="234"/>
        <v>3.6707049730066672E-2</v>
      </c>
      <c r="BW160" s="463">
        <f t="shared" si="235"/>
        <v>1.8401539298060574E-3</v>
      </c>
      <c r="BX160" s="463">
        <f t="shared" si="236"/>
        <v>0</v>
      </c>
      <c r="BY160" s="463">
        <f t="shared" si="180"/>
        <v>9.2225215017756365E-2</v>
      </c>
      <c r="BZ160" s="463">
        <f t="shared" si="250"/>
        <v>8.180504995715128E-2</v>
      </c>
      <c r="CA160" s="549">
        <f t="shared" si="270"/>
        <v>3.664302600472813E-2</v>
      </c>
      <c r="CB160" s="147">
        <f t="shared" si="238"/>
        <v>292.47834093678705</v>
      </c>
      <c r="CC160" s="153">
        <f t="shared" si="251"/>
        <v>0.2272480941219113</v>
      </c>
      <c r="CD160" s="5">
        <f t="shared" si="239"/>
        <v>1.55</v>
      </c>
      <c r="CE160" s="153">
        <f t="shared" si="240"/>
        <v>0.87213485001136648</v>
      </c>
      <c r="CF160" s="5">
        <f t="shared" si="241"/>
        <v>87.213485001136647</v>
      </c>
      <c r="CG160">
        <f t="shared" si="242"/>
        <v>50</v>
      </c>
      <c r="CI160" s="59">
        <f t="shared" si="271"/>
        <v>-50</v>
      </c>
      <c r="CJ160">
        <f t="shared" si="272"/>
        <v>-50</v>
      </c>
    </row>
    <row r="161" spans="5:88" x14ac:dyDescent="0.25">
      <c r="E161" s="150">
        <v>51</v>
      </c>
      <c r="F161" s="191">
        <f t="shared" si="273"/>
        <v>5.1000000000000004E-2</v>
      </c>
      <c r="G161" s="191">
        <f t="shared" si="252"/>
        <v>5.1000000000000004E-2</v>
      </c>
      <c r="H161" s="191">
        <f t="shared" si="253"/>
        <v>0.76500000000000001</v>
      </c>
      <c r="I161" s="191">
        <f t="shared" si="254"/>
        <v>0.81600000000000006</v>
      </c>
      <c r="J161" s="472">
        <f t="shared" si="186"/>
        <v>13</v>
      </c>
      <c r="K161" s="386">
        <f t="shared" si="187"/>
        <v>15.32</v>
      </c>
      <c r="L161" s="386">
        <f t="shared" si="188"/>
        <v>28.32</v>
      </c>
      <c r="M161" s="386"/>
      <c r="N161" s="191">
        <f t="shared" si="189"/>
        <v>0.54096045197740117</v>
      </c>
      <c r="O161" s="152">
        <f t="shared" si="255"/>
        <v>1.1484503143794424</v>
      </c>
      <c r="P161" s="152">
        <f t="shared" si="256"/>
        <v>2.5316949152542376</v>
      </c>
      <c r="Q161" s="191">
        <f t="shared" si="192"/>
        <v>7.6563354291962829E-2</v>
      </c>
      <c r="R161" s="191">
        <f t="shared" si="257"/>
        <v>7.1778144648715153E-2</v>
      </c>
      <c r="S161" s="191">
        <f t="shared" si="258"/>
        <v>15</v>
      </c>
      <c r="T161" s="191">
        <f t="shared" si="259"/>
        <v>0.49958626230166686</v>
      </c>
      <c r="U161" s="191">
        <f t="shared" si="196"/>
        <v>1.8061964867829494</v>
      </c>
      <c r="V161" s="191">
        <f t="shared" si="197"/>
        <v>1.532673259019474</v>
      </c>
      <c r="W161" s="175">
        <f t="shared" si="198"/>
        <v>350</v>
      </c>
      <c r="X161" s="386">
        <f t="shared" si="199"/>
        <v>299.50254910578195</v>
      </c>
      <c r="Z161" s="191">
        <f t="shared" si="200"/>
        <v>0.42750674016451157</v>
      </c>
      <c r="AA161" s="153">
        <f t="shared" si="201"/>
        <v>1.3115415657788541</v>
      </c>
      <c r="AB161" s="153">
        <f t="shared" si="260"/>
        <v>4.7478024382677106E-2</v>
      </c>
      <c r="AC161" s="153"/>
      <c r="AD161" s="153">
        <f t="shared" si="203"/>
        <v>0.46018276762402083</v>
      </c>
      <c r="AE161" s="317">
        <f t="shared" si="261"/>
        <v>1477.6737588652486</v>
      </c>
      <c r="AF161" s="463">
        <f t="shared" si="262"/>
        <v>1.2079797650130546E-2</v>
      </c>
      <c r="AH161" s="153">
        <f t="shared" si="263"/>
        <v>0.43842769641618495</v>
      </c>
      <c r="AI161" s="153">
        <f t="shared" si="264"/>
        <v>0.49958626230166686</v>
      </c>
      <c r="AJ161" s="153">
        <f t="shared" si="265"/>
        <v>1.4589527868901235</v>
      </c>
      <c r="AL161" s="317">
        <f t="shared" si="266"/>
        <v>51.000000000000007</v>
      </c>
      <c r="AM161" s="147">
        <f t="shared" si="267"/>
        <v>299.50254910578195</v>
      </c>
      <c r="AO161">
        <f t="shared" si="211"/>
        <v>51.000000000000007</v>
      </c>
      <c r="AP161">
        <f t="shared" si="212"/>
        <v>299.50254910578195</v>
      </c>
      <c r="AR161" s="5">
        <f t="shared" si="249"/>
        <v>3.3388697458024232</v>
      </c>
      <c r="AS161" s="5">
        <f t="shared" si="246"/>
        <v>1.8061964867829494</v>
      </c>
      <c r="AT161" s="5">
        <f t="shared" si="247"/>
        <v>1.5326732590194738</v>
      </c>
      <c r="AU161" s="153">
        <f t="shared" si="248"/>
        <v>0.54096045197740117</v>
      </c>
      <c r="AW161" s="5">
        <f t="shared" si="216"/>
        <v>0.61410680550620289</v>
      </c>
      <c r="AX161" s="5"/>
      <c r="AY161" s="5">
        <f t="shared" si="217"/>
        <v>0.57572513016206517</v>
      </c>
      <c r="AZ161" s="5"/>
      <c r="BA161" s="5">
        <f t="shared" si="218"/>
        <v>0.13361766873503106</v>
      </c>
      <c r="BB161" s="5"/>
      <c r="BC161" s="5"/>
      <c r="BD161" s="153">
        <f t="shared" si="219"/>
        <v>0.21214491105772162</v>
      </c>
      <c r="BE161" s="153">
        <f t="shared" si="220"/>
        <v>0.19542265615624343</v>
      </c>
      <c r="BF161" s="153">
        <f t="shared" si="221"/>
        <v>0.19567811060873525</v>
      </c>
      <c r="BG161" s="153"/>
      <c r="BH161" s="463">
        <f t="shared" si="222"/>
        <v>1.5751912150691015E-2</v>
      </c>
      <c r="BI161" s="463">
        <f t="shared" si="223"/>
        <v>2.1187234042553189E-2</v>
      </c>
      <c r="BJ161" s="463">
        <f t="shared" si="224"/>
        <v>3.743781863822274E-3</v>
      </c>
      <c r="BK161" s="463">
        <f t="shared" si="225"/>
        <v>1.2010387661996856E-2</v>
      </c>
      <c r="BL161">
        <f t="shared" si="226"/>
        <v>3.7699999999999999E-3</v>
      </c>
      <c r="BM161">
        <f t="shared" si="268"/>
        <v>5.9900509821156394E-6</v>
      </c>
      <c r="BN161">
        <f t="shared" si="269"/>
        <v>5.8766603045389082E-2</v>
      </c>
      <c r="BO161" s="147">
        <f t="shared" si="229"/>
        <v>56.463315719063338</v>
      </c>
      <c r="BP161" s="153">
        <f t="shared" si="230"/>
        <v>2.0400000000000001E-2</v>
      </c>
      <c r="BQ161" s="153">
        <f t="shared" si="231"/>
        <v>2.0400000000000001E-2</v>
      </c>
      <c r="BR161" s="463"/>
      <c r="BT161" s="147">
        <f t="shared" si="232"/>
        <v>40.800000000000004</v>
      </c>
      <c r="BU161" s="463">
        <f t="shared" si="233"/>
        <v>4.5005463287688618E-2</v>
      </c>
      <c r="BV161" s="463">
        <f t="shared" si="234"/>
        <v>3.8190014539161349E-2</v>
      </c>
      <c r="BW161" s="463">
        <f t="shared" si="235"/>
        <v>1.9144961485702214E-3</v>
      </c>
      <c r="BX161" s="463">
        <f t="shared" si="236"/>
        <v>0</v>
      </c>
      <c r="BY161" s="463">
        <f t="shared" si="180"/>
        <v>9.5976656511505984E-2</v>
      </c>
      <c r="BZ161" s="463">
        <f t="shared" si="250"/>
        <v>8.5109973975420194E-2</v>
      </c>
      <c r="CA161" s="549">
        <f t="shared" si="270"/>
        <v>3.7375886524822696E-2</v>
      </c>
      <c r="CB161" s="147">
        <f t="shared" si="238"/>
        <v>303.57249098716909</v>
      </c>
      <c r="CC161" s="153">
        <f t="shared" si="251"/>
        <v>0.23291914608171777</v>
      </c>
      <c r="CD161" s="5">
        <f t="shared" si="239"/>
        <v>1.581</v>
      </c>
      <c r="CE161" s="153">
        <f t="shared" si="240"/>
        <v>0.87159342433489884</v>
      </c>
      <c r="CF161" s="5">
        <f t="shared" si="241"/>
        <v>87.159342433489883</v>
      </c>
      <c r="CG161">
        <f t="shared" si="242"/>
        <v>51</v>
      </c>
      <c r="CI161" s="59">
        <f t="shared" si="271"/>
        <v>-50</v>
      </c>
      <c r="CJ161">
        <f t="shared" si="272"/>
        <v>-50</v>
      </c>
    </row>
    <row r="162" spans="5:88" x14ac:dyDescent="0.25">
      <c r="E162" s="150">
        <v>52</v>
      </c>
      <c r="F162" s="191">
        <f t="shared" si="273"/>
        <v>5.2000000000000005E-2</v>
      </c>
      <c r="G162" s="191">
        <f t="shared" si="252"/>
        <v>5.2000000000000005E-2</v>
      </c>
      <c r="H162" s="191">
        <f t="shared" si="253"/>
        <v>0.78</v>
      </c>
      <c r="I162" s="191">
        <f t="shared" si="254"/>
        <v>0.83200000000000007</v>
      </c>
      <c r="J162" s="472">
        <f t="shared" si="186"/>
        <v>13</v>
      </c>
      <c r="K162" s="386">
        <f t="shared" si="187"/>
        <v>15.32</v>
      </c>
      <c r="L162" s="386">
        <f t="shared" si="188"/>
        <v>28.32</v>
      </c>
      <c r="M162" s="386"/>
      <c r="N162" s="191">
        <f t="shared" si="189"/>
        <v>0.54096045197740117</v>
      </c>
      <c r="O162" s="152">
        <f t="shared" si="255"/>
        <v>1.1484503143794424</v>
      </c>
      <c r="P162" s="152">
        <f t="shared" si="256"/>
        <v>2.5316949152542376</v>
      </c>
      <c r="Q162" s="191">
        <f t="shared" si="192"/>
        <v>7.6563354291962829E-2</v>
      </c>
      <c r="R162" s="191">
        <f t="shared" si="257"/>
        <v>7.1778144648715153E-2</v>
      </c>
      <c r="S162" s="191">
        <f t="shared" si="258"/>
        <v>15</v>
      </c>
      <c r="T162" s="191">
        <f t="shared" si="259"/>
        <v>0.50938207136640545</v>
      </c>
      <c r="U162" s="191">
        <f t="shared" si="196"/>
        <v>1.8416121041708504</v>
      </c>
      <c r="V162" s="191">
        <f t="shared" si="197"/>
        <v>1.562725675862993</v>
      </c>
      <c r="W162" s="175">
        <f t="shared" si="198"/>
        <v>350</v>
      </c>
      <c r="X162" s="386">
        <f t="shared" si="199"/>
        <v>293.74288469990148</v>
      </c>
      <c r="Z162" s="191">
        <f t="shared" si="200"/>
        <v>0.42750674016451157</v>
      </c>
      <c r="AA162" s="153">
        <f t="shared" si="201"/>
        <v>1.3115415657788541</v>
      </c>
      <c r="AB162" s="153">
        <f t="shared" si="260"/>
        <v>4.7478024382677106E-2</v>
      </c>
      <c r="AC162" s="153"/>
      <c r="AD162" s="153">
        <f t="shared" si="203"/>
        <v>0.46018276762402083</v>
      </c>
      <c r="AE162" s="317">
        <f t="shared" si="261"/>
        <v>1506.6477541371162</v>
      </c>
      <c r="AF162" s="463">
        <f t="shared" si="262"/>
        <v>1.2079797650130546E-2</v>
      </c>
      <c r="AH162" s="153">
        <f t="shared" si="263"/>
        <v>0.44270514108748366</v>
      </c>
      <c r="AI162" s="153">
        <f t="shared" si="264"/>
        <v>0.50938207136640545</v>
      </c>
      <c r="AJ162" s="153">
        <f t="shared" si="265"/>
        <v>1.466208941752893</v>
      </c>
      <c r="AL162" s="317">
        <f t="shared" si="266"/>
        <v>52.000000000000007</v>
      </c>
      <c r="AM162" s="147">
        <f t="shared" si="267"/>
        <v>293.74288469990148</v>
      </c>
      <c r="AO162">
        <f t="shared" si="211"/>
        <v>52.000000000000007</v>
      </c>
      <c r="AP162">
        <f t="shared" si="212"/>
        <v>293.74288469990148</v>
      </c>
      <c r="AR162" s="5">
        <f t="shared" si="249"/>
        <v>3.4043377800338437</v>
      </c>
      <c r="AS162" s="5">
        <f t="shared" si="246"/>
        <v>1.8416121041708504</v>
      </c>
      <c r="AT162" s="5">
        <f t="shared" si="247"/>
        <v>1.5627256758629933</v>
      </c>
      <c r="AU162" s="153">
        <f t="shared" si="248"/>
        <v>0.54096045197740117</v>
      </c>
      <c r="AW162" s="5">
        <f t="shared" si="216"/>
        <v>0.63842552944589492</v>
      </c>
      <c r="AX162" s="5"/>
      <c r="AY162" s="5">
        <f t="shared" si="217"/>
        <v>0.59852393385552649</v>
      </c>
      <c r="AZ162" s="5"/>
      <c r="BA162" s="5">
        <f t="shared" si="218"/>
        <v>0.13890894896559938</v>
      </c>
      <c r="BB162" s="5"/>
      <c r="BC162" s="5"/>
      <c r="BD162" s="153">
        <f t="shared" si="219"/>
        <v>0.21630461519610833</v>
      </c>
      <c r="BE162" s="153">
        <f t="shared" si="220"/>
        <v>0.19925447294362075</v>
      </c>
      <c r="BF162" s="153">
        <f t="shared" si="221"/>
        <v>0.19951493630694572</v>
      </c>
      <c r="BG162" s="153"/>
      <c r="BH162" s="463">
        <f t="shared" si="222"/>
        <v>1.6375690294297775E-2</v>
      </c>
      <c r="BI162" s="463">
        <f t="shared" si="223"/>
        <v>2.1187234042553189E-2</v>
      </c>
      <c r="BJ162" s="463">
        <f t="shared" si="224"/>
        <v>3.6717860587487682E-3</v>
      </c>
      <c r="BK162" s="463">
        <f t="shared" si="225"/>
        <v>1.1779418668496914E-2</v>
      </c>
      <c r="BL162">
        <f t="shared" si="226"/>
        <v>3.7699999999999999E-3</v>
      </c>
      <c r="BM162">
        <f t="shared" si="268"/>
        <v>5.8748576939980301E-6</v>
      </c>
      <c r="BN162">
        <f t="shared" si="269"/>
        <v>5.9179522080950168E-2</v>
      </c>
      <c r="BO162" s="147">
        <f t="shared" si="229"/>
        <v>56.784129064096639</v>
      </c>
      <c r="BP162" s="153">
        <f t="shared" si="230"/>
        <v>2.0800000000000003E-2</v>
      </c>
      <c r="BQ162" s="153">
        <f t="shared" si="231"/>
        <v>2.0800000000000003E-2</v>
      </c>
      <c r="BR162" s="463"/>
      <c r="BT162" s="147">
        <f t="shared" si="232"/>
        <v>41.600000000000009</v>
      </c>
      <c r="BU162" s="463">
        <f t="shared" si="233"/>
        <v>4.6787686555136501E-2</v>
      </c>
      <c r="BV162" s="463">
        <f t="shared" si="234"/>
        <v>3.9702344988040095E-2</v>
      </c>
      <c r="BW162" s="463">
        <f t="shared" si="235"/>
        <v>1.9903104904782309E-3</v>
      </c>
      <c r="BX162" s="463">
        <f t="shared" si="236"/>
        <v>0</v>
      </c>
      <c r="BY162" s="463">
        <f t="shared" si="180"/>
        <v>9.9804441567805213E-2</v>
      </c>
      <c r="BZ162" s="463">
        <f t="shared" si="250"/>
        <v>8.8480342033654832E-2</v>
      </c>
      <c r="CA162" s="549">
        <f t="shared" si="270"/>
        <v>3.8108747044917256E-2</v>
      </c>
      <c r="CB162" s="147">
        <f t="shared" si="238"/>
        <v>314.87387268003215</v>
      </c>
      <c r="CC162" s="153">
        <f t="shared" si="251"/>
        <v>0.23869271069367265</v>
      </c>
      <c r="CD162" s="5">
        <f t="shared" si="239"/>
        <v>1.6120000000000001</v>
      </c>
      <c r="CE162" s="153">
        <f t="shared" si="240"/>
        <v>0.87102520622983037</v>
      </c>
      <c r="CF162" s="5">
        <f t="shared" si="241"/>
        <v>87.102520622983036</v>
      </c>
      <c r="CG162">
        <f t="shared" si="242"/>
        <v>52</v>
      </c>
      <c r="CI162" s="59">
        <f t="shared" si="271"/>
        <v>-50</v>
      </c>
      <c r="CJ162">
        <f t="shared" si="272"/>
        <v>-50</v>
      </c>
    </row>
    <row r="163" spans="5:88" x14ac:dyDescent="0.25">
      <c r="E163" s="150">
        <v>53</v>
      </c>
      <c r="F163" s="191">
        <f t="shared" si="273"/>
        <v>5.3000000000000005E-2</v>
      </c>
      <c r="G163" s="191">
        <f t="shared" si="252"/>
        <v>5.3000000000000005E-2</v>
      </c>
      <c r="H163" s="191">
        <f t="shared" si="253"/>
        <v>0.79500000000000004</v>
      </c>
      <c r="I163" s="191">
        <f t="shared" si="254"/>
        <v>0.84800000000000009</v>
      </c>
      <c r="J163" s="472">
        <f t="shared" si="186"/>
        <v>13</v>
      </c>
      <c r="K163" s="386">
        <f t="shared" si="187"/>
        <v>15.32</v>
      </c>
      <c r="L163" s="386">
        <f t="shared" si="188"/>
        <v>28.32</v>
      </c>
      <c r="M163" s="386"/>
      <c r="N163" s="191">
        <f t="shared" si="189"/>
        <v>0.54096045197740117</v>
      </c>
      <c r="O163" s="152">
        <f t="shared" si="255"/>
        <v>1.1484503143794424</v>
      </c>
      <c r="P163" s="152">
        <f t="shared" si="256"/>
        <v>2.5316949152542376</v>
      </c>
      <c r="Q163" s="191">
        <f t="shared" si="192"/>
        <v>7.6563354291962829E-2</v>
      </c>
      <c r="R163" s="191">
        <f t="shared" si="257"/>
        <v>7.1778144648715153E-2</v>
      </c>
      <c r="S163" s="191">
        <f t="shared" si="258"/>
        <v>15</v>
      </c>
      <c r="T163" s="191">
        <f t="shared" si="259"/>
        <v>0.5191778804311441</v>
      </c>
      <c r="U163" s="191">
        <f t="shared" si="196"/>
        <v>1.8770277215587514</v>
      </c>
      <c r="V163" s="191">
        <f t="shared" si="197"/>
        <v>1.5927780927065125</v>
      </c>
      <c r="W163" s="175">
        <f t="shared" si="198"/>
        <v>350</v>
      </c>
      <c r="X163" s="386">
        <f t="shared" si="199"/>
        <v>288.20056612065804</v>
      </c>
      <c r="Z163" s="191">
        <f t="shared" si="200"/>
        <v>0.42750674016451157</v>
      </c>
      <c r="AA163" s="153">
        <f t="shared" si="201"/>
        <v>1.3115415657788541</v>
      </c>
      <c r="AB163" s="153">
        <f t="shared" si="260"/>
        <v>4.7478024382677106E-2</v>
      </c>
      <c r="AC163" s="153"/>
      <c r="AD163" s="153">
        <f t="shared" si="203"/>
        <v>0.46018276762402083</v>
      </c>
      <c r="AE163" s="317">
        <f t="shared" si="261"/>
        <v>1535.621749408984</v>
      </c>
      <c r="AF163" s="463">
        <f t="shared" si="262"/>
        <v>1.2079797650130546E-2</v>
      </c>
      <c r="AH163" s="153">
        <f t="shared" si="263"/>
        <v>0.4469416504486633</v>
      </c>
      <c r="AI163" s="153">
        <f t="shared" si="264"/>
        <v>0.5191778804311441</v>
      </c>
      <c r="AJ163" s="153">
        <f t="shared" si="265"/>
        <v>1.4734650966156622</v>
      </c>
      <c r="AL163" s="317">
        <f t="shared" si="266"/>
        <v>53.000000000000007</v>
      </c>
      <c r="AM163" s="147">
        <f t="shared" si="267"/>
        <v>288.20056612065804</v>
      </c>
      <c r="AO163">
        <f t="shared" si="211"/>
        <v>53.000000000000007</v>
      </c>
      <c r="AP163">
        <f t="shared" si="212"/>
        <v>288.20056612065804</v>
      </c>
      <c r="AR163" s="5">
        <f t="shared" si="249"/>
        <v>3.4698058142652646</v>
      </c>
      <c r="AS163" s="5">
        <f t="shared" si="246"/>
        <v>1.8770277215587514</v>
      </c>
      <c r="AT163" s="5">
        <f t="shared" si="247"/>
        <v>1.5927780927065132</v>
      </c>
      <c r="AU163" s="153">
        <f t="shared" si="248"/>
        <v>0.54096045197740095</v>
      </c>
      <c r="AW163" s="5">
        <f t="shared" si="216"/>
        <v>0.66321646161742565</v>
      </c>
      <c r="AX163" s="5"/>
      <c r="AY163" s="5">
        <f t="shared" si="217"/>
        <v>0.62176543276633645</v>
      </c>
      <c r="AZ163" s="5"/>
      <c r="BA163" s="5">
        <f t="shared" si="218"/>
        <v>0.1443029725016157</v>
      </c>
      <c r="BB163" s="5"/>
      <c r="BC163" s="5"/>
      <c r="BD163" s="153">
        <f t="shared" si="219"/>
        <v>0.22046431933449501</v>
      </c>
      <c r="BE163" s="153">
        <f t="shared" si="220"/>
        <v>0.20308628973099818</v>
      </c>
      <c r="BF163" s="153">
        <f t="shared" si="221"/>
        <v>0.20335176200515634</v>
      </c>
      <c r="BG163" s="153"/>
      <c r="BH163" s="463">
        <f t="shared" si="222"/>
        <v>1.7011580634867764E-2</v>
      </c>
      <c r="BI163" s="463">
        <f t="shared" si="223"/>
        <v>2.1187234042553189E-2</v>
      </c>
      <c r="BJ163" s="463">
        <f t="shared" si="224"/>
        <v>3.6025070765082256E-3</v>
      </c>
      <c r="BK163" s="463">
        <f t="shared" si="225"/>
        <v>1.1557165486072442E-2</v>
      </c>
      <c r="BL163">
        <f t="shared" si="226"/>
        <v>3.7699999999999999E-3</v>
      </c>
      <c r="BM163">
        <f t="shared" si="268"/>
        <v>5.7640113224131611E-6</v>
      </c>
      <c r="BN163">
        <f t="shared" si="269"/>
        <v>5.9617933667273283E-2</v>
      </c>
      <c r="BO163" s="147">
        <f t="shared" si="229"/>
        <v>57.128487240001618</v>
      </c>
      <c r="BP163" s="153">
        <f t="shared" si="230"/>
        <v>2.1200000000000004E-2</v>
      </c>
      <c r="BQ163" s="153">
        <f t="shared" si="231"/>
        <v>2.1200000000000004E-2</v>
      </c>
      <c r="BR163" s="463"/>
      <c r="BT163" s="147">
        <f t="shared" si="232"/>
        <v>42.400000000000006</v>
      </c>
      <c r="BU163" s="463">
        <f t="shared" si="233"/>
        <v>4.8604516099622186E-2</v>
      </c>
      <c r="BV163" s="463">
        <f t="shared" si="234"/>
        <v>4.1244041076702938E-2</v>
      </c>
      <c r="BW163" s="463">
        <f t="shared" si="235"/>
        <v>2.0675969555300874E-3</v>
      </c>
      <c r="BX163" s="463">
        <f t="shared" si="236"/>
        <v>0</v>
      </c>
      <c r="BY163" s="463">
        <f t="shared" si="180"/>
        <v>0.10370869296426316</v>
      </c>
      <c r="BZ163" s="463">
        <f t="shared" si="250"/>
        <v>9.1916154131855207E-2</v>
      </c>
      <c r="CA163" s="549">
        <f t="shared" si="270"/>
        <v>3.8841607565011829E-2</v>
      </c>
      <c r="CB163" s="147">
        <f t="shared" si="238"/>
        <v>326.38260879298542</v>
      </c>
      <c r="CC163" s="153">
        <f t="shared" si="251"/>
        <v>0.24456823419654827</v>
      </c>
      <c r="CD163" s="5">
        <f t="shared" si="239"/>
        <v>1.6430000000000002</v>
      </c>
      <c r="CE163" s="153">
        <f t="shared" si="240"/>
        <v>0.87043210954402939</v>
      </c>
      <c r="CF163" s="5">
        <f t="shared" si="241"/>
        <v>87.043210954402937</v>
      </c>
      <c r="CG163">
        <f t="shared" si="242"/>
        <v>53</v>
      </c>
      <c r="CI163" s="59">
        <f t="shared" si="271"/>
        <v>-50</v>
      </c>
      <c r="CJ163">
        <f t="shared" si="272"/>
        <v>-50</v>
      </c>
    </row>
    <row r="164" spans="5:88" x14ac:dyDescent="0.25">
      <c r="E164" s="150">
        <v>54</v>
      </c>
      <c r="F164" s="191">
        <f t="shared" si="273"/>
        <v>5.4000000000000006E-2</v>
      </c>
      <c r="G164" s="191">
        <f t="shared" si="252"/>
        <v>5.4000000000000006E-2</v>
      </c>
      <c r="H164" s="191">
        <f t="shared" si="253"/>
        <v>0.81</v>
      </c>
      <c r="I164" s="191">
        <f t="shared" si="254"/>
        <v>0.8640000000000001</v>
      </c>
      <c r="J164" s="472">
        <f t="shared" si="186"/>
        <v>13</v>
      </c>
      <c r="K164" s="386">
        <f t="shared" si="187"/>
        <v>15.32</v>
      </c>
      <c r="L164" s="386">
        <f t="shared" si="188"/>
        <v>28.32</v>
      </c>
      <c r="M164" s="386"/>
      <c r="N164" s="191">
        <f t="shared" si="189"/>
        <v>0.54096045197740117</v>
      </c>
      <c r="O164" s="152">
        <f t="shared" si="255"/>
        <v>1.1484503143794424</v>
      </c>
      <c r="P164" s="152">
        <f t="shared" si="256"/>
        <v>2.5316949152542376</v>
      </c>
      <c r="Q164" s="191">
        <f t="shared" si="192"/>
        <v>7.6563354291962829E-2</v>
      </c>
      <c r="R164" s="191">
        <f t="shared" si="257"/>
        <v>7.1778144648715153E-2</v>
      </c>
      <c r="S164" s="191">
        <f t="shared" si="258"/>
        <v>15</v>
      </c>
      <c r="T164" s="191">
        <f t="shared" si="259"/>
        <v>0.52897368949588264</v>
      </c>
      <c r="U164" s="191">
        <f t="shared" si="196"/>
        <v>1.9124433389466524</v>
      </c>
      <c r="V164" s="191">
        <f t="shared" si="197"/>
        <v>1.6228305095500317</v>
      </c>
      <c r="W164" s="175">
        <f t="shared" si="198"/>
        <v>350</v>
      </c>
      <c r="X164" s="386">
        <f t="shared" si="199"/>
        <v>282.86351859990509</v>
      </c>
      <c r="Z164" s="191">
        <f t="shared" si="200"/>
        <v>0.42750674016451157</v>
      </c>
      <c r="AA164" s="153">
        <f t="shared" si="201"/>
        <v>1.3115415657788541</v>
      </c>
      <c r="AB164" s="153">
        <f t="shared" si="260"/>
        <v>4.7478024382677106E-2</v>
      </c>
      <c r="AC164" s="153"/>
      <c r="AD164" s="153">
        <f t="shared" si="203"/>
        <v>0.46018276762402083</v>
      </c>
      <c r="AE164" s="317">
        <f t="shared" si="261"/>
        <v>1564.5957446808518</v>
      </c>
      <c r="AF164" s="463">
        <f t="shared" si="262"/>
        <v>1.2079797650130546E-2</v>
      </c>
      <c r="AH164" s="153">
        <f t="shared" si="263"/>
        <v>0.45113837773599069</v>
      </c>
      <c r="AI164" s="153">
        <f t="shared" si="264"/>
        <v>0.52897368949588264</v>
      </c>
      <c r="AJ164" s="153">
        <f t="shared" si="265"/>
        <v>1.4807212514784316</v>
      </c>
      <c r="AL164" s="317">
        <f t="shared" si="266"/>
        <v>54.000000000000007</v>
      </c>
      <c r="AM164" s="147">
        <f t="shared" si="267"/>
        <v>282.86351859990509</v>
      </c>
      <c r="AO164">
        <f t="shared" si="211"/>
        <v>54.000000000000007</v>
      </c>
      <c r="AP164">
        <f t="shared" si="212"/>
        <v>282.86351859990509</v>
      </c>
      <c r="AR164" s="5">
        <f t="shared" si="249"/>
        <v>3.5352738484966846</v>
      </c>
      <c r="AS164" s="5">
        <f t="shared" si="246"/>
        <v>1.9124433389466524</v>
      </c>
      <c r="AT164" s="5">
        <f t="shared" si="247"/>
        <v>1.6228305095500322</v>
      </c>
      <c r="AU164" s="153">
        <f t="shared" si="248"/>
        <v>0.54096045197740106</v>
      </c>
      <c r="AW164" s="5">
        <f t="shared" si="216"/>
        <v>0.68847960202079495</v>
      </c>
      <c r="AX164" s="5"/>
      <c r="AY164" s="5">
        <f t="shared" si="217"/>
        <v>0.64544962689449525</v>
      </c>
      <c r="AZ164" s="5"/>
      <c r="BA164" s="5">
        <f t="shared" si="218"/>
        <v>0.14979973934307991</v>
      </c>
      <c r="BB164" s="5"/>
      <c r="BC164" s="5"/>
      <c r="BD164" s="153">
        <f t="shared" si="219"/>
        <v>0.22462402347288168</v>
      </c>
      <c r="BE164" s="153">
        <f t="shared" si="220"/>
        <v>0.20691810651837544</v>
      </c>
      <c r="BF164" s="153">
        <f t="shared" si="221"/>
        <v>0.20718858770336679</v>
      </c>
      <c r="BG164" s="153"/>
      <c r="BH164" s="463">
        <f t="shared" si="222"/>
        <v>1.7659583172400992E-2</v>
      </c>
      <c r="BI164" s="463">
        <f t="shared" si="223"/>
        <v>2.1187234042553186E-2</v>
      </c>
      <c r="BJ164" s="463">
        <f t="shared" si="224"/>
        <v>3.5357939824988134E-3</v>
      </c>
      <c r="BK164" s="463">
        <f t="shared" si="225"/>
        <v>1.1343143902997026E-2</v>
      </c>
      <c r="BL164">
        <f t="shared" si="226"/>
        <v>3.7699999999999999E-3</v>
      </c>
      <c r="BM164">
        <f t="shared" si="268"/>
        <v>5.6572703719981023E-6</v>
      </c>
      <c r="BN164">
        <f t="shared" si="269"/>
        <v>6.008121229013761E-2</v>
      </c>
      <c r="BO164" s="147">
        <f t="shared" si="229"/>
        <v>57.495755100450019</v>
      </c>
      <c r="BP164" s="153">
        <f t="shared" si="230"/>
        <v>2.1600000000000005E-2</v>
      </c>
      <c r="BQ164" s="153">
        <f t="shared" si="231"/>
        <v>2.1600000000000005E-2</v>
      </c>
      <c r="BR164" s="463"/>
      <c r="BT164" s="147">
        <f t="shared" si="232"/>
        <v>43.20000000000001</v>
      </c>
      <c r="BU164" s="463">
        <f t="shared" si="233"/>
        <v>5.04559519211457E-2</v>
      </c>
      <c r="BV164" s="463">
        <f t="shared" si="234"/>
        <v>4.2815102805149767E-2</v>
      </c>
      <c r="BW164" s="463">
        <f t="shared" si="235"/>
        <v>2.1463555437257857E-3</v>
      </c>
      <c r="BX164" s="463">
        <f t="shared" si="236"/>
        <v>0</v>
      </c>
      <c r="BY164" s="463">
        <f t="shared" si="180"/>
        <v>0.10768953603374543</v>
      </c>
      <c r="BZ164" s="463">
        <f t="shared" si="250"/>
        <v>9.541741027002125E-2</v>
      </c>
      <c r="CA164" s="549">
        <f t="shared" si="270"/>
        <v>3.9574468085106382E-2</v>
      </c>
      <c r="CB164" s="147">
        <f t="shared" si="238"/>
        <v>338.09882465889433</v>
      </c>
      <c r="CC164" s="153">
        <f t="shared" si="251"/>
        <v>0.25054521640898941</v>
      </c>
      <c r="CD164" s="5">
        <f t="shared" si="239"/>
        <v>1.6740000000000002</v>
      </c>
      <c r="CE164" s="153">
        <f t="shared" si="240"/>
        <v>0.8698158846709344</v>
      </c>
      <c r="CF164" s="5">
        <f t="shared" si="241"/>
        <v>86.981588467093445</v>
      </c>
      <c r="CG164">
        <f t="shared" si="242"/>
        <v>54</v>
      </c>
      <c r="CI164" s="59">
        <f t="shared" si="271"/>
        <v>-50</v>
      </c>
      <c r="CJ164">
        <f t="shared" si="272"/>
        <v>-50</v>
      </c>
    </row>
    <row r="165" spans="5:88" x14ac:dyDescent="0.25">
      <c r="E165" s="150">
        <v>55</v>
      </c>
      <c r="F165" s="191">
        <f t="shared" si="273"/>
        <v>5.5000000000000007E-2</v>
      </c>
      <c r="G165" s="191">
        <f t="shared" si="252"/>
        <v>5.5000000000000007E-2</v>
      </c>
      <c r="H165" s="191">
        <f t="shared" si="253"/>
        <v>0.82500000000000007</v>
      </c>
      <c r="I165" s="191">
        <f t="shared" si="254"/>
        <v>0.88000000000000012</v>
      </c>
      <c r="J165" s="472">
        <f t="shared" si="186"/>
        <v>13</v>
      </c>
      <c r="K165" s="386">
        <f t="shared" si="187"/>
        <v>15.32</v>
      </c>
      <c r="L165" s="386">
        <f t="shared" si="188"/>
        <v>28.32</v>
      </c>
      <c r="M165" s="386"/>
      <c r="N165" s="191">
        <f t="shared" si="189"/>
        <v>0.54096045197740117</v>
      </c>
      <c r="O165" s="152">
        <f t="shared" si="255"/>
        <v>1.1484503143794424</v>
      </c>
      <c r="P165" s="152">
        <f t="shared" si="256"/>
        <v>2.5316949152542376</v>
      </c>
      <c r="Q165" s="191">
        <f t="shared" si="192"/>
        <v>7.6563354291962829E-2</v>
      </c>
      <c r="R165" s="191">
        <f t="shared" si="257"/>
        <v>7.1778144648715153E-2</v>
      </c>
      <c r="S165" s="191">
        <f t="shared" si="258"/>
        <v>15</v>
      </c>
      <c r="T165" s="191">
        <f t="shared" si="259"/>
        <v>0.53876949856062117</v>
      </c>
      <c r="U165" s="191">
        <f t="shared" si="196"/>
        <v>1.9478589563345532</v>
      </c>
      <c r="V165" s="191">
        <f t="shared" si="197"/>
        <v>1.6528829263935505</v>
      </c>
      <c r="W165" s="175">
        <f t="shared" si="198"/>
        <v>350</v>
      </c>
      <c r="X165" s="386">
        <f t="shared" si="199"/>
        <v>277.72054553445236</v>
      </c>
      <c r="Z165" s="191">
        <f t="shared" si="200"/>
        <v>0.42750674016451157</v>
      </c>
      <c r="AA165" s="153">
        <f t="shared" si="201"/>
        <v>1.3115415657788541</v>
      </c>
      <c r="AB165" s="153">
        <f t="shared" si="260"/>
        <v>4.7478024382677106E-2</v>
      </c>
      <c r="AC165" s="153"/>
      <c r="AD165" s="153">
        <f t="shared" si="203"/>
        <v>0.46018276762402083</v>
      </c>
      <c r="AE165" s="317">
        <f t="shared" si="261"/>
        <v>1593.5697399527191</v>
      </c>
      <c r="AF165" s="463">
        <f t="shared" si="262"/>
        <v>1.2079797650130546E-2</v>
      </c>
      <c r="AH165" s="153">
        <f t="shared" si="263"/>
        <v>0.45529642303311341</v>
      </c>
      <c r="AI165" s="153">
        <f t="shared" si="264"/>
        <v>0.53876949856062117</v>
      </c>
      <c r="AJ165" s="153">
        <f t="shared" si="265"/>
        <v>1.4879774063412008</v>
      </c>
      <c r="AL165" s="317">
        <f t="shared" si="266"/>
        <v>55.000000000000007</v>
      </c>
      <c r="AM165" s="147">
        <f t="shared" si="267"/>
        <v>277.72054553445236</v>
      </c>
      <c r="AO165">
        <f t="shared" si="211"/>
        <v>55.000000000000007</v>
      </c>
      <c r="AP165">
        <f t="shared" si="212"/>
        <v>277.72054553445236</v>
      </c>
      <c r="AR165" s="5">
        <f t="shared" si="249"/>
        <v>3.6007418827281032</v>
      </c>
      <c r="AS165" s="5">
        <f t="shared" si="246"/>
        <v>1.9478589563345532</v>
      </c>
      <c r="AT165" s="5">
        <f t="shared" si="247"/>
        <v>1.6528829263935501</v>
      </c>
      <c r="AU165" s="153">
        <f t="shared" si="248"/>
        <v>0.54096045197740117</v>
      </c>
      <c r="AW165" s="5">
        <f t="shared" si="216"/>
        <v>0.71421495065600293</v>
      </c>
      <c r="AX165" s="5"/>
      <c r="AY165" s="5">
        <f t="shared" si="217"/>
        <v>0.66957651624000269</v>
      </c>
      <c r="AZ165" s="5"/>
      <c r="BA165" s="5">
        <f t="shared" si="218"/>
        <v>0.15539924948999187</v>
      </c>
      <c r="BB165" s="5"/>
      <c r="BC165" s="5"/>
      <c r="BD165" s="153">
        <f t="shared" si="219"/>
        <v>0.22878372761126844</v>
      </c>
      <c r="BE165" s="153">
        <f t="shared" si="220"/>
        <v>0.21074992330575273</v>
      </c>
      <c r="BF165" s="153">
        <f t="shared" si="221"/>
        <v>0.21102541340157724</v>
      </c>
      <c r="BG165" s="153"/>
      <c r="BH165" s="463">
        <f t="shared" si="222"/>
        <v>1.8319697906897473E-2</v>
      </c>
      <c r="BI165" s="463">
        <f t="shared" si="223"/>
        <v>2.1187234042553193E-2</v>
      </c>
      <c r="BJ165" s="463">
        <f t="shared" si="224"/>
        <v>3.4715068191806544E-3</v>
      </c>
      <c r="BK165" s="463">
        <f t="shared" si="225"/>
        <v>1.1136904922942538E-2</v>
      </c>
      <c r="BL165">
        <f t="shared" si="226"/>
        <v>3.7699999999999999E-3</v>
      </c>
      <c r="BM165">
        <f t="shared" si="268"/>
        <v>5.5544109106890474E-6</v>
      </c>
      <c r="BN165">
        <f t="shared" si="269"/>
        <v>6.0568778839271392E-2</v>
      </c>
      <c r="BO165" s="147">
        <f t="shared" si="229"/>
        <v>57.885343691573858</v>
      </c>
      <c r="BP165" s="153">
        <f t="shared" si="230"/>
        <v>2.2000000000000006E-2</v>
      </c>
      <c r="BQ165" s="153">
        <f t="shared" si="231"/>
        <v>2.2000000000000006E-2</v>
      </c>
      <c r="BR165" s="463"/>
      <c r="BT165" s="147">
        <f t="shared" si="232"/>
        <v>44.000000000000014</v>
      </c>
      <c r="BU165" s="463">
        <f t="shared" si="233"/>
        <v>5.2341994019707072E-2</v>
      </c>
      <c r="BV165" s="463">
        <f t="shared" si="234"/>
        <v>4.4415530173380659E-2</v>
      </c>
      <c r="BW165" s="463">
        <f t="shared" si="235"/>
        <v>2.2265862550653287E-3</v>
      </c>
      <c r="BX165" s="463">
        <f t="shared" si="236"/>
        <v>0</v>
      </c>
      <c r="BY165" s="463">
        <f t="shared" ref="BY165:BY210" si="274">(BX165+(BU165+BV165+BW165)*(1+Ltc*(Ta-25)))/(1-(BU165+BV165+BW165)*Ltc*ThetaCa)</f>
        <v>0.11174709867452824</v>
      </c>
      <c r="BZ165" s="463">
        <f t="shared" si="250"/>
        <v>9.8984110448153056E-2</v>
      </c>
      <c r="CA165" s="549">
        <f t="shared" si="270"/>
        <v>4.0307328605200948E-2</v>
      </c>
      <c r="CB165" s="147">
        <f t="shared" si="238"/>
        <v>350.02264817603526</v>
      </c>
      <c r="CC165" s="153">
        <f t="shared" si="251"/>
        <v>0.25662320611900058</v>
      </c>
      <c r="CD165" s="5">
        <f t="shared" si="239"/>
        <v>1.7050000000000001</v>
      </c>
      <c r="CE165" s="153">
        <f t="shared" si="240"/>
        <v>0.86917813506768193</v>
      </c>
      <c r="CF165" s="5">
        <f t="shared" si="241"/>
        <v>86.917813506768198</v>
      </c>
      <c r="CG165">
        <f t="shared" si="242"/>
        <v>55.000000000000007</v>
      </c>
      <c r="CI165" s="59">
        <f t="shared" si="271"/>
        <v>-50</v>
      </c>
      <c r="CJ165">
        <f t="shared" si="272"/>
        <v>-50</v>
      </c>
    </row>
    <row r="166" spans="5:88" x14ac:dyDescent="0.25">
      <c r="E166" s="150">
        <v>56</v>
      </c>
      <c r="F166" s="191">
        <f t="shared" si="273"/>
        <v>5.6000000000000008E-2</v>
      </c>
      <c r="G166" s="191">
        <f t="shared" si="252"/>
        <v>5.6000000000000008E-2</v>
      </c>
      <c r="H166" s="191">
        <f t="shared" si="253"/>
        <v>0.84000000000000008</v>
      </c>
      <c r="I166" s="191">
        <f t="shared" si="254"/>
        <v>0.89600000000000013</v>
      </c>
      <c r="J166" s="472">
        <f t="shared" si="186"/>
        <v>13</v>
      </c>
      <c r="K166" s="386">
        <f t="shared" si="187"/>
        <v>15.32</v>
      </c>
      <c r="L166" s="386">
        <f t="shared" si="188"/>
        <v>28.32</v>
      </c>
      <c r="M166" s="386"/>
      <c r="N166" s="191">
        <f t="shared" si="189"/>
        <v>0.54096045197740117</v>
      </c>
      <c r="O166" s="152">
        <f t="shared" si="255"/>
        <v>1.1484503143794424</v>
      </c>
      <c r="P166" s="152">
        <f t="shared" si="256"/>
        <v>2.5316949152542376</v>
      </c>
      <c r="Q166" s="191">
        <f t="shared" si="192"/>
        <v>7.6563354291962829E-2</v>
      </c>
      <c r="R166" s="191">
        <f t="shared" si="257"/>
        <v>7.1778144648715153E-2</v>
      </c>
      <c r="S166" s="191">
        <f t="shared" si="258"/>
        <v>15</v>
      </c>
      <c r="T166" s="191">
        <f t="shared" si="259"/>
        <v>0.54856530762535982</v>
      </c>
      <c r="U166" s="191">
        <f t="shared" si="196"/>
        <v>1.9832745737224549</v>
      </c>
      <c r="V166" s="191">
        <f t="shared" si="197"/>
        <v>1.6829353432370699</v>
      </c>
      <c r="W166" s="175">
        <f t="shared" si="198"/>
        <v>350</v>
      </c>
      <c r="X166" s="386">
        <f t="shared" si="199"/>
        <v>272.76125007847992</v>
      </c>
      <c r="Z166" s="191">
        <f t="shared" si="200"/>
        <v>0.42750674016451157</v>
      </c>
      <c r="AA166" s="153">
        <f t="shared" si="201"/>
        <v>1.3115415657788541</v>
      </c>
      <c r="AB166" s="153">
        <f t="shared" si="260"/>
        <v>4.7478024382677106E-2</v>
      </c>
      <c r="AC166" s="153"/>
      <c r="AD166" s="153">
        <f t="shared" si="203"/>
        <v>0.46018276762402083</v>
      </c>
      <c r="AE166" s="317">
        <f t="shared" si="261"/>
        <v>1622.543735224587</v>
      </c>
      <c r="AF166" s="463">
        <f t="shared" si="262"/>
        <v>1.2079797650130546E-2</v>
      </c>
      <c r="AH166" s="153">
        <f t="shared" si="263"/>
        <v>0.45941683663883509</v>
      </c>
      <c r="AI166" s="153">
        <f t="shared" si="264"/>
        <v>0.54856530762535982</v>
      </c>
      <c r="AJ166" s="153">
        <f t="shared" si="265"/>
        <v>1.4952335612039702</v>
      </c>
      <c r="AL166" s="317">
        <f t="shared" si="266"/>
        <v>56.000000000000007</v>
      </c>
      <c r="AM166" s="147">
        <f t="shared" si="267"/>
        <v>272.76125007847992</v>
      </c>
      <c r="AO166">
        <f t="shared" si="211"/>
        <v>56.000000000000007</v>
      </c>
      <c r="AP166">
        <f t="shared" si="212"/>
        <v>272.76125007847992</v>
      </c>
      <c r="AR166" s="5">
        <f t="shared" si="249"/>
        <v>3.6662099169595246</v>
      </c>
      <c r="AS166" s="5">
        <f t="shared" si="246"/>
        <v>1.9832745737224549</v>
      </c>
      <c r="AT166" s="5">
        <f t="shared" si="247"/>
        <v>1.6829353432370697</v>
      </c>
      <c r="AU166" s="153">
        <f t="shared" si="248"/>
        <v>0.54096045197740117</v>
      </c>
      <c r="AW166" s="5">
        <f t="shared" si="216"/>
        <v>0.74042250752304983</v>
      </c>
      <c r="AX166" s="5"/>
      <c r="AY166" s="5">
        <f t="shared" si="217"/>
        <v>0.69414610080285932</v>
      </c>
      <c r="AZ166" s="5"/>
      <c r="BA166" s="5">
        <f t="shared" si="218"/>
        <v>0.16110150294235195</v>
      </c>
      <c r="BB166" s="5"/>
      <c r="BC166" s="5"/>
      <c r="BD166" s="153">
        <f t="shared" si="219"/>
        <v>0.23294343174965518</v>
      </c>
      <c r="BE166" s="153">
        <f t="shared" si="220"/>
        <v>0.21458174009313008</v>
      </c>
      <c r="BF166" s="153">
        <f t="shared" si="221"/>
        <v>0.21486223909978777</v>
      </c>
      <c r="BG166" s="153"/>
      <c r="BH166" s="463">
        <f t="shared" si="222"/>
        <v>1.899192483835719E-2</v>
      </c>
      <c r="BI166" s="463">
        <f t="shared" si="223"/>
        <v>2.1187234042553189E-2</v>
      </c>
      <c r="BJ166" s="463">
        <f t="shared" si="224"/>
        <v>3.4095156259809989E-3</v>
      </c>
      <c r="BK166" s="463">
        <f t="shared" si="225"/>
        <v>1.0938031620747132E-2</v>
      </c>
      <c r="BL166">
        <f t="shared" si="226"/>
        <v>3.7699999999999999E-3</v>
      </c>
      <c r="BM166">
        <f t="shared" si="268"/>
        <v>5.4552250015695986E-6</v>
      </c>
      <c r="BN166">
        <f t="shared" si="269"/>
        <v>6.1080096482798912E-2</v>
      </c>
      <c r="BO166" s="147">
        <f t="shared" si="229"/>
        <v>58.296706127638508</v>
      </c>
      <c r="BP166" s="153">
        <f t="shared" si="230"/>
        <v>2.2400000000000003E-2</v>
      </c>
      <c r="BQ166" s="153">
        <f t="shared" si="231"/>
        <v>2.2400000000000003E-2</v>
      </c>
      <c r="BR166" s="463"/>
      <c r="BT166" s="147">
        <f t="shared" si="232"/>
        <v>44.800000000000004</v>
      </c>
      <c r="BU166" s="463">
        <f t="shared" si="233"/>
        <v>5.426264239530626E-2</v>
      </c>
      <c r="BV166" s="463">
        <f t="shared" si="234"/>
        <v>4.6045323181395627E-2</v>
      </c>
      <c r="BW166" s="463">
        <f t="shared" si="235"/>
        <v>2.3082890895487185E-3</v>
      </c>
      <c r="BX166" s="463">
        <f t="shared" si="236"/>
        <v>0</v>
      </c>
      <c r="BY166" s="463">
        <f t="shared" si="274"/>
        <v>0.11588151136067242</v>
      </c>
      <c r="BZ166" s="463">
        <f t="shared" si="250"/>
        <v>0.1026162546662506</v>
      </c>
      <c r="CA166" s="549">
        <f t="shared" si="270"/>
        <v>4.1040189125295515E-2</v>
      </c>
      <c r="CB166" s="147">
        <f t="shared" si="238"/>
        <v>362.15420981846916</v>
      </c>
      <c r="CC166" s="153">
        <f t="shared" si="251"/>
        <v>0.26280179696876682</v>
      </c>
      <c r="CD166" s="5">
        <f t="shared" si="239"/>
        <v>1.7360000000000002</v>
      </c>
      <c r="CE166" s="153">
        <f t="shared" si="240"/>
        <v>0.86852033184715349</v>
      </c>
      <c r="CF166" s="5">
        <f t="shared" si="241"/>
        <v>86.852033184715353</v>
      </c>
      <c r="CG166">
        <f t="shared" si="242"/>
        <v>56.000000000000007</v>
      </c>
      <c r="CI166" s="59">
        <f t="shared" si="271"/>
        <v>-50</v>
      </c>
      <c r="CJ166">
        <f t="shared" si="272"/>
        <v>-50</v>
      </c>
    </row>
    <row r="167" spans="5:88" x14ac:dyDescent="0.25">
      <c r="E167" s="150">
        <v>57</v>
      </c>
      <c r="F167" s="191">
        <f t="shared" si="273"/>
        <v>5.6999999999999995E-2</v>
      </c>
      <c r="G167" s="191">
        <f t="shared" si="252"/>
        <v>5.6999999999999995E-2</v>
      </c>
      <c r="H167" s="191">
        <f t="shared" si="253"/>
        <v>0.85499999999999998</v>
      </c>
      <c r="I167" s="191">
        <f t="shared" si="254"/>
        <v>0.91199999999999992</v>
      </c>
      <c r="J167" s="472">
        <f t="shared" si="186"/>
        <v>13</v>
      </c>
      <c r="K167" s="386">
        <f t="shared" si="187"/>
        <v>15.32</v>
      </c>
      <c r="L167" s="386">
        <f t="shared" si="188"/>
        <v>28.32</v>
      </c>
      <c r="M167" s="386"/>
      <c r="N167" s="191">
        <f t="shared" si="189"/>
        <v>0.54096045197740117</v>
      </c>
      <c r="O167" s="152">
        <f t="shared" si="255"/>
        <v>1.1484503143794424</v>
      </c>
      <c r="P167" s="152">
        <f t="shared" si="256"/>
        <v>2.5316949152542376</v>
      </c>
      <c r="Q167" s="191">
        <f t="shared" si="192"/>
        <v>7.6563354291962829E-2</v>
      </c>
      <c r="R167" s="191">
        <f t="shared" si="257"/>
        <v>7.1778144648715153E-2</v>
      </c>
      <c r="S167" s="191">
        <f t="shared" si="258"/>
        <v>15</v>
      </c>
      <c r="T167" s="191">
        <f t="shared" si="259"/>
        <v>0.55836111669009825</v>
      </c>
      <c r="U167" s="191">
        <f t="shared" si="196"/>
        <v>2.0186901911103554</v>
      </c>
      <c r="V167" s="191">
        <f t="shared" si="197"/>
        <v>1.7129877600805885</v>
      </c>
      <c r="W167" s="175">
        <f t="shared" si="198"/>
        <v>350</v>
      </c>
      <c r="X167" s="386">
        <f t="shared" si="199"/>
        <v>267.97596498938378</v>
      </c>
      <c r="Z167" s="191">
        <f t="shared" si="200"/>
        <v>0.42750674016451157</v>
      </c>
      <c r="AA167" s="153">
        <f t="shared" si="201"/>
        <v>1.3115415657788541</v>
      </c>
      <c r="AB167" s="153">
        <f t="shared" si="260"/>
        <v>4.7478024382677106E-2</v>
      </c>
      <c r="AC167" s="153"/>
      <c r="AD167" s="153">
        <f t="shared" si="203"/>
        <v>0.46018276762402083</v>
      </c>
      <c r="AE167" s="317">
        <f t="shared" si="261"/>
        <v>1651.5177304964539</v>
      </c>
      <c r="AF167" s="463">
        <f t="shared" si="262"/>
        <v>1.2079797650130546E-2</v>
      </c>
      <c r="AH167" s="153">
        <f t="shared" si="263"/>
        <v>0.46350062216540805</v>
      </c>
      <c r="AI167" s="153">
        <f t="shared" si="264"/>
        <v>0.55836111669009825</v>
      </c>
      <c r="AJ167" s="153">
        <f t="shared" si="265"/>
        <v>1.5024897160667394</v>
      </c>
      <c r="AL167" s="317">
        <f t="shared" si="266"/>
        <v>56.999999999999993</v>
      </c>
      <c r="AM167" s="147">
        <f t="shared" si="267"/>
        <v>267.97596498938378</v>
      </c>
      <c r="AO167">
        <f t="shared" si="211"/>
        <v>56.999999999999993</v>
      </c>
      <c r="AP167">
        <f t="shared" si="212"/>
        <v>267.97596498938378</v>
      </c>
      <c r="AR167" s="5">
        <f t="shared" si="249"/>
        <v>3.7316779511909446</v>
      </c>
      <c r="AS167" s="5">
        <f t="shared" si="246"/>
        <v>2.0186901911103554</v>
      </c>
      <c r="AT167" s="5">
        <f t="shared" si="247"/>
        <v>1.7129877600805892</v>
      </c>
      <c r="AU167" s="153">
        <f t="shared" si="248"/>
        <v>0.54096045197740106</v>
      </c>
      <c r="AW167" s="5">
        <f t="shared" si="216"/>
        <v>0.76710227262193498</v>
      </c>
      <c r="AX167" s="5"/>
      <c r="AY167" s="5">
        <f t="shared" si="217"/>
        <v>0.71915838058306414</v>
      </c>
      <c r="AZ167" s="5"/>
      <c r="BA167" s="5">
        <f t="shared" si="218"/>
        <v>0.16690649970015994</v>
      </c>
      <c r="BB167" s="5"/>
      <c r="BC167" s="5"/>
      <c r="BD167" s="153">
        <f t="shared" si="219"/>
        <v>0.23710313588804174</v>
      </c>
      <c r="BE167" s="153">
        <f t="shared" si="220"/>
        <v>0.21841355688050737</v>
      </c>
      <c r="BF167" s="153">
        <f t="shared" si="221"/>
        <v>0.21869906479799825</v>
      </c>
      <c r="BG167" s="153"/>
      <c r="BH167" s="463">
        <f t="shared" si="222"/>
        <v>1.9676263966780114E-2</v>
      </c>
      <c r="BI167" s="463">
        <f t="shared" si="223"/>
        <v>2.1187234042553186E-2</v>
      </c>
      <c r="BJ167" s="463">
        <f t="shared" si="224"/>
        <v>3.3496995623672971E-3</v>
      </c>
      <c r="BK167" s="463">
        <f t="shared" si="225"/>
        <v>1.0746136329155078E-2</v>
      </c>
      <c r="BL167">
        <f t="shared" si="226"/>
        <v>3.7699999999999999E-3</v>
      </c>
      <c r="BM167">
        <f t="shared" si="268"/>
        <v>5.3595192997876762E-6</v>
      </c>
      <c r="BN167">
        <f t="shared" si="269"/>
        <v>6.1614666975999287E-2</v>
      </c>
      <c r="BO167" s="147">
        <f t="shared" si="229"/>
        <v>58.729333900855671</v>
      </c>
      <c r="BP167" s="153">
        <f t="shared" si="230"/>
        <v>2.2800000000000001E-2</v>
      </c>
      <c r="BQ167" s="153">
        <f t="shared" si="231"/>
        <v>2.2800000000000001E-2</v>
      </c>
      <c r="BR167" s="463"/>
      <c r="BT167" s="147">
        <f t="shared" si="232"/>
        <v>45.6</v>
      </c>
      <c r="BU167" s="463">
        <f t="shared" si="233"/>
        <v>5.6217897047943187E-2</v>
      </c>
      <c r="BV167" s="463">
        <f t="shared" si="234"/>
        <v>4.770448182919463E-2</v>
      </c>
      <c r="BW167" s="463">
        <f t="shared" si="235"/>
        <v>2.3914640471759518E-3</v>
      </c>
      <c r="BX167" s="463">
        <f t="shared" si="236"/>
        <v>0</v>
      </c>
      <c r="BY167" s="463">
        <f t="shared" si="274"/>
        <v>0.12009290715261925</v>
      </c>
      <c r="BZ167" s="463">
        <f t="shared" si="250"/>
        <v>0.10631384292431377</v>
      </c>
      <c r="CA167" s="549">
        <f t="shared" si="270"/>
        <v>4.177304964539006E-2</v>
      </c>
      <c r="CB167" s="147">
        <f t="shared" si="238"/>
        <v>374.49364264663689</v>
      </c>
      <c r="CC167" s="153">
        <f t="shared" si="251"/>
        <v>0.2690806237740086</v>
      </c>
      <c r="CD167" s="5">
        <f t="shared" si="239"/>
        <v>1.7669999999999999</v>
      </c>
      <c r="CE167" s="153">
        <f t="shared" si="240"/>
        <v>0.86784382669717164</v>
      </c>
      <c r="CF167" s="5">
        <f t="shared" si="241"/>
        <v>86.784382669717161</v>
      </c>
      <c r="CG167">
        <f t="shared" si="242"/>
        <v>56.999999999999993</v>
      </c>
      <c r="CI167" s="59">
        <f t="shared" si="271"/>
        <v>-50</v>
      </c>
      <c r="CJ167">
        <f t="shared" si="272"/>
        <v>-50</v>
      </c>
    </row>
    <row r="168" spans="5:88" x14ac:dyDescent="0.25">
      <c r="E168" s="150">
        <v>58</v>
      </c>
      <c r="F168" s="191">
        <f t="shared" si="273"/>
        <v>5.7999999999999996E-2</v>
      </c>
      <c r="G168" s="191">
        <f t="shared" si="252"/>
        <v>5.7999999999999996E-2</v>
      </c>
      <c r="H168" s="191">
        <f t="shared" si="253"/>
        <v>0.86999999999999988</v>
      </c>
      <c r="I168" s="191">
        <f t="shared" si="254"/>
        <v>0.92799999999999994</v>
      </c>
      <c r="J168" s="472">
        <f t="shared" si="186"/>
        <v>13</v>
      </c>
      <c r="K168" s="386">
        <f t="shared" si="187"/>
        <v>15.32</v>
      </c>
      <c r="L168" s="386">
        <f t="shared" si="188"/>
        <v>28.32</v>
      </c>
      <c r="M168" s="386"/>
      <c r="N168" s="191">
        <f t="shared" si="189"/>
        <v>0.54096045197740117</v>
      </c>
      <c r="O168" s="152">
        <f t="shared" si="255"/>
        <v>1.1484503143794424</v>
      </c>
      <c r="P168" s="152">
        <f t="shared" si="256"/>
        <v>2.5316949152542376</v>
      </c>
      <c r="Q168" s="191">
        <f t="shared" si="192"/>
        <v>7.6563354291962829E-2</v>
      </c>
      <c r="R168" s="191">
        <f t="shared" si="257"/>
        <v>7.1778144648715153E-2</v>
      </c>
      <c r="S168" s="191">
        <f t="shared" si="258"/>
        <v>15</v>
      </c>
      <c r="T168" s="191">
        <f t="shared" si="259"/>
        <v>0.56815692575483678</v>
      </c>
      <c r="U168" s="191">
        <f t="shared" si="196"/>
        <v>2.0541058084982557</v>
      </c>
      <c r="V168" s="191">
        <f t="shared" si="197"/>
        <v>1.7430401769241075</v>
      </c>
      <c r="W168" s="175">
        <f t="shared" si="198"/>
        <v>350</v>
      </c>
      <c r="X168" s="386">
        <f t="shared" si="199"/>
        <v>263.35568973094627</v>
      </c>
      <c r="Z168" s="191">
        <f t="shared" si="200"/>
        <v>0.42750674016451157</v>
      </c>
      <c r="AA168" s="153">
        <f t="shared" si="201"/>
        <v>1.3115415657788541</v>
      </c>
      <c r="AB168" s="153">
        <f t="shared" si="260"/>
        <v>4.7478024382677106E-2</v>
      </c>
      <c r="AC168" s="153"/>
      <c r="AD168" s="153">
        <f t="shared" si="203"/>
        <v>0.46018276762402083</v>
      </c>
      <c r="AE168" s="317">
        <f t="shared" si="261"/>
        <v>1680.4917257683219</v>
      </c>
      <c r="AF168" s="463">
        <f t="shared" si="262"/>
        <v>1.2079797650130546E-2</v>
      </c>
      <c r="AH168" s="153">
        <f t="shared" si="263"/>
        <v>0.46754873939323877</v>
      </c>
      <c r="AI168" s="153">
        <f t="shared" si="264"/>
        <v>0.56815692575483678</v>
      </c>
      <c r="AJ168" s="153">
        <f t="shared" si="265"/>
        <v>1.5097458709295086</v>
      </c>
      <c r="AL168" s="317">
        <f t="shared" si="266"/>
        <v>57.999999999999993</v>
      </c>
      <c r="AM168" s="147">
        <f t="shared" si="267"/>
        <v>263.35568973094627</v>
      </c>
      <c r="AO168">
        <f t="shared" si="211"/>
        <v>57.999999999999993</v>
      </c>
      <c r="AP168">
        <f t="shared" si="212"/>
        <v>263.35568973094627</v>
      </c>
      <c r="AR168" s="5">
        <f t="shared" si="249"/>
        <v>3.7971459854223628</v>
      </c>
      <c r="AS168" s="5">
        <f t="shared" si="246"/>
        <v>2.0541058084982557</v>
      </c>
      <c r="AT168" s="5">
        <f t="shared" si="247"/>
        <v>1.7430401769241071</v>
      </c>
      <c r="AU168" s="153">
        <f t="shared" si="248"/>
        <v>0.54096045197740117</v>
      </c>
      <c r="AW168" s="5">
        <f t="shared" si="216"/>
        <v>0.79425424595265881</v>
      </c>
      <c r="AX168" s="5"/>
      <c r="AY168" s="5">
        <f t="shared" si="217"/>
        <v>0.7446133555806177</v>
      </c>
      <c r="AZ168" s="5"/>
      <c r="BA168" s="5">
        <f t="shared" si="218"/>
        <v>0.1728142397634157</v>
      </c>
      <c r="BB168" s="5"/>
      <c r="BC168" s="5"/>
      <c r="BD168" s="153">
        <f t="shared" si="219"/>
        <v>0.2412628400264285</v>
      </c>
      <c r="BE168" s="153">
        <f t="shared" si="220"/>
        <v>0.22224537366788466</v>
      </c>
      <c r="BF168" s="153">
        <f t="shared" si="221"/>
        <v>0.22253589049620867</v>
      </c>
      <c r="BG168" s="153"/>
      <c r="BH168" s="463">
        <f t="shared" si="222"/>
        <v>2.0372715292166312E-2</v>
      </c>
      <c r="BI168" s="463">
        <f t="shared" si="223"/>
        <v>2.11872340425532E-2</v>
      </c>
      <c r="BJ168" s="463">
        <f t="shared" si="224"/>
        <v>3.2919461216368282E-3</v>
      </c>
      <c r="BK168" s="463">
        <f t="shared" si="225"/>
        <v>1.0560858116583444E-2</v>
      </c>
      <c r="BL168">
        <f t="shared" si="226"/>
        <v>3.7699999999999999E-3</v>
      </c>
      <c r="BM168">
        <f t="shared" si="268"/>
        <v>5.2671137946189251E-6</v>
      </c>
      <c r="BN168">
        <f t="shared" si="269"/>
        <v>6.2172027351960646E-2</v>
      </c>
      <c r="BO168" s="147">
        <f t="shared" si="229"/>
        <v>59.182753572939788</v>
      </c>
      <c r="BP168" s="153">
        <f t="shared" si="230"/>
        <v>2.3199999999999998E-2</v>
      </c>
      <c r="BQ168" s="153">
        <f t="shared" si="231"/>
        <v>2.3199999999999998E-2</v>
      </c>
      <c r="BR168" s="463"/>
      <c r="BT168" s="147">
        <f t="shared" si="232"/>
        <v>46.4</v>
      </c>
      <c r="BU168" s="463">
        <f t="shared" si="233"/>
        <v>5.8207757977618034E-2</v>
      </c>
      <c r="BV168" s="463">
        <f t="shared" si="234"/>
        <v>4.9393006116777681E-2</v>
      </c>
      <c r="BW168" s="463">
        <f t="shared" si="235"/>
        <v>2.4761111279470293E-3</v>
      </c>
      <c r="BX168" s="463">
        <f t="shared" si="236"/>
        <v>0</v>
      </c>
      <c r="BY168" s="463">
        <f t="shared" si="274"/>
        <v>0.1243814217080103</v>
      </c>
      <c r="BZ168" s="463">
        <f t="shared" si="250"/>
        <v>0.11007687522234275</v>
      </c>
      <c r="CA168" s="549">
        <f t="shared" si="270"/>
        <v>4.2505910165484641E-2</v>
      </c>
      <c r="CB168" s="147">
        <f t="shared" si="238"/>
        <v>387.04108231818049</v>
      </c>
      <c r="CC168" s="153">
        <f t="shared" si="251"/>
        <v>0.27545935922545561</v>
      </c>
      <c r="CD168" s="5">
        <f t="shared" si="239"/>
        <v>1.7979999999999998</v>
      </c>
      <c r="CE168" s="153">
        <f t="shared" si="240"/>
        <v>0.86714986334318422</v>
      </c>
      <c r="CF168" s="5">
        <f t="shared" si="241"/>
        <v>86.714986334318425</v>
      </c>
      <c r="CG168">
        <f t="shared" si="242"/>
        <v>57.999999999999993</v>
      </c>
      <c r="CI168" s="59">
        <f t="shared" si="271"/>
        <v>-50</v>
      </c>
      <c r="CJ168">
        <f t="shared" si="272"/>
        <v>-50</v>
      </c>
    </row>
    <row r="169" spans="5:88" x14ac:dyDescent="0.25">
      <c r="E169" s="150">
        <v>59</v>
      </c>
      <c r="F169" s="191">
        <f t="shared" si="273"/>
        <v>5.8999999999999997E-2</v>
      </c>
      <c r="G169" s="191">
        <f t="shared" si="252"/>
        <v>5.8999999999999997E-2</v>
      </c>
      <c r="H169" s="191">
        <f t="shared" si="253"/>
        <v>0.88500000000000001</v>
      </c>
      <c r="I169" s="191">
        <f t="shared" si="254"/>
        <v>0.94399999999999995</v>
      </c>
      <c r="J169" s="472">
        <f t="shared" si="186"/>
        <v>13</v>
      </c>
      <c r="K169" s="386">
        <f t="shared" si="187"/>
        <v>15.32</v>
      </c>
      <c r="L169" s="386">
        <f t="shared" si="188"/>
        <v>28.32</v>
      </c>
      <c r="M169" s="386"/>
      <c r="N169" s="191">
        <f t="shared" si="189"/>
        <v>0.54096045197740117</v>
      </c>
      <c r="O169" s="152">
        <f t="shared" si="255"/>
        <v>1.1484503143794424</v>
      </c>
      <c r="P169" s="152">
        <f t="shared" si="256"/>
        <v>2.5316949152542376</v>
      </c>
      <c r="Q169" s="191">
        <f t="shared" si="192"/>
        <v>7.6563354291962829E-2</v>
      </c>
      <c r="R169" s="191">
        <f t="shared" si="257"/>
        <v>7.1778144648715153E-2</v>
      </c>
      <c r="S169" s="191">
        <f t="shared" si="258"/>
        <v>15</v>
      </c>
      <c r="T169" s="191">
        <f t="shared" si="259"/>
        <v>0.57795273481957543</v>
      </c>
      <c r="U169" s="191">
        <f t="shared" si="196"/>
        <v>2.089521425886157</v>
      </c>
      <c r="V169" s="191">
        <f t="shared" si="197"/>
        <v>1.7730925937676267</v>
      </c>
      <c r="W169" s="175">
        <f t="shared" si="198"/>
        <v>350</v>
      </c>
      <c r="X169" s="386">
        <f t="shared" si="199"/>
        <v>258.89203397279459</v>
      </c>
      <c r="Z169" s="191">
        <f t="shared" si="200"/>
        <v>0.42750674016451157</v>
      </c>
      <c r="AA169" s="153">
        <f t="shared" si="201"/>
        <v>1.3115415657788541</v>
      </c>
      <c r="AB169" s="153">
        <f t="shared" si="260"/>
        <v>4.7478024382677106E-2</v>
      </c>
      <c r="AC169" s="153"/>
      <c r="AD169" s="153">
        <f t="shared" si="203"/>
        <v>0.46018276762402083</v>
      </c>
      <c r="AE169" s="317">
        <f t="shared" si="261"/>
        <v>1709.4657210401895</v>
      </c>
      <c r="AF169" s="463">
        <f t="shared" si="262"/>
        <v>1.2079797650130546E-2</v>
      </c>
      <c r="AH169" s="153">
        <f t="shared" si="263"/>
        <v>0.47156210690501099</v>
      </c>
      <c r="AI169" s="153">
        <f t="shared" si="264"/>
        <v>0.57795273481957543</v>
      </c>
      <c r="AJ169" s="153">
        <f t="shared" si="265"/>
        <v>1.5170020257922781</v>
      </c>
      <c r="AL169" s="317">
        <f t="shared" si="266"/>
        <v>59</v>
      </c>
      <c r="AM169" s="147">
        <f t="shared" si="267"/>
        <v>258.89203397279459</v>
      </c>
      <c r="AO169">
        <f t="shared" si="211"/>
        <v>59</v>
      </c>
      <c r="AP169">
        <f t="shared" si="212"/>
        <v>258.89203397279459</v>
      </c>
      <c r="AR169" s="5">
        <f t="shared" si="249"/>
        <v>3.8626140196537837</v>
      </c>
      <c r="AS169" s="5">
        <f t="shared" si="246"/>
        <v>2.089521425886157</v>
      </c>
      <c r="AT169" s="5">
        <f t="shared" si="247"/>
        <v>1.7730925937676267</v>
      </c>
      <c r="AU169" s="153">
        <f t="shared" si="248"/>
        <v>0.54096045197740117</v>
      </c>
      <c r="AW169" s="5">
        <f t="shared" si="216"/>
        <v>0.82187842751522178</v>
      </c>
      <c r="AX169" s="5"/>
      <c r="AY169" s="5">
        <f t="shared" si="217"/>
        <v>0.77051102579552033</v>
      </c>
      <c r="AZ169" s="5"/>
      <c r="BA169" s="5">
        <f t="shared" si="218"/>
        <v>0.17882472313211961</v>
      </c>
      <c r="BB169" s="5"/>
      <c r="BC169" s="5"/>
      <c r="BD169" s="153">
        <f t="shared" si="219"/>
        <v>0.24542254416481524</v>
      </c>
      <c r="BE169" s="153">
        <f t="shared" si="220"/>
        <v>0.22607719045526201</v>
      </c>
      <c r="BF169" s="153">
        <f t="shared" si="221"/>
        <v>0.22637271619441923</v>
      </c>
      <c r="BG169" s="153"/>
      <c r="BH169" s="463">
        <f t="shared" si="222"/>
        <v>2.1081278814515738E-2</v>
      </c>
      <c r="BI169" s="463">
        <f t="shared" si="223"/>
        <v>2.1187234042553193E-2</v>
      </c>
      <c r="BJ169" s="463">
        <f t="shared" si="224"/>
        <v>3.2361504246599324E-3</v>
      </c>
      <c r="BK169" s="463">
        <f t="shared" si="225"/>
        <v>1.0381860521387112E-2</v>
      </c>
      <c r="BL169">
        <f t="shared" si="226"/>
        <v>3.7699999999999999E-3</v>
      </c>
      <c r="BM169">
        <f t="shared" si="268"/>
        <v>5.1778406794558923E-6</v>
      </c>
      <c r="BN169">
        <f t="shared" si="269"/>
        <v>6.2751746948820616E-2</v>
      </c>
      <c r="BO169" s="147">
        <f t="shared" si="229"/>
        <v>59.656523803115981</v>
      </c>
      <c r="BP169" s="153">
        <f t="shared" si="230"/>
        <v>2.3599999999999999E-2</v>
      </c>
      <c r="BQ169" s="153">
        <f t="shared" si="231"/>
        <v>2.3599999999999999E-2</v>
      </c>
      <c r="BR169" s="463"/>
      <c r="BT169" s="147">
        <f t="shared" si="232"/>
        <v>47.199999999999996</v>
      </c>
      <c r="BU169" s="463">
        <f t="shared" si="233"/>
        <v>6.0232225184330683E-2</v>
      </c>
      <c r="BV169" s="463">
        <f t="shared" si="234"/>
        <v>5.1110896044144809E-2</v>
      </c>
      <c r="BW169" s="463">
        <f t="shared" si="235"/>
        <v>2.5622303318619537E-3</v>
      </c>
      <c r="BX169" s="463">
        <f t="shared" si="236"/>
        <v>0</v>
      </c>
      <c r="BY169" s="463">
        <f t="shared" si="274"/>
        <v>0.12874719329273115</v>
      </c>
      <c r="BZ169" s="463">
        <f t="shared" si="250"/>
        <v>0.11390535156033745</v>
      </c>
      <c r="CA169" s="549">
        <f t="shared" si="270"/>
        <v>4.32387706855792E-2</v>
      </c>
      <c r="CB169" s="147">
        <f t="shared" si="238"/>
        <v>399.79666709898521</v>
      </c>
      <c r="CC169" s="153">
        <f t="shared" si="251"/>
        <v>0.28193771092713094</v>
      </c>
      <c r="CD169" s="5">
        <f t="shared" si="239"/>
        <v>1.829</v>
      </c>
      <c r="CE169" s="153">
        <f t="shared" si="240"/>
        <v>0.86643958773975249</v>
      </c>
      <c r="CF169" s="5">
        <f t="shared" si="241"/>
        <v>86.643958773975243</v>
      </c>
      <c r="CG169">
        <f t="shared" si="242"/>
        <v>59</v>
      </c>
      <c r="CI169" s="59">
        <f t="shared" si="271"/>
        <v>-50</v>
      </c>
      <c r="CJ169">
        <f t="shared" si="272"/>
        <v>-50</v>
      </c>
    </row>
    <row r="170" spans="5:88" x14ac:dyDescent="0.25">
      <c r="E170" s="150">
        <v>60</v>
      </c>
      <c r="F170" s="191">
        <f t="shared" si="273"/>
        <v>0.06</v>
      </c>
      <c r="G170" s="191">
        <f t="shared" si="252"/>
        <v>0.06</v>
      </c>
      <c r="H170" s="191">
        <f t="shared" si="253"/>
        <v>0.89999999999999991</v>
      </c>
      <c r="I170" s="191">
        <f t="shared" si="254"/>
        <v>0.96</v>
      </c>
      <c r="J170" s="472">
        <f t="shared" si="186"/>
        <v>13</v>
      </c>
      <c r="K170" s="386">
        <f t="shared" si="187"/>
        <v>15.32</v>
      </c>
      <c r="L170" s="386">
        <f t="shared" si="188"/>
        <v>28.32</v>
      </c>
      <c r="M170" s="386"/>
      <c r="N170" s="191">
        <f t="shared" si="189"/>
        <v>0.54096045197740117</v>
      </c>
      <c r="O170" s="152">
        <f t="shared" si="255"/>
        <v>1.1484503143794424</v>
      </c>
      <c r="P170" s="152">
        <f t="shared" si="256"/>
        <v>2.5316949152542376</v>
      </c>
      <c r="Q170" s="191">
        <f t="shared" si="192"/>
        <v>7.6563354291962829E-2</v>
      </c>
      <c r="R170" s="191">
        <f t="shared" si="257"/>
        <v>7.1778144648715153E-2</v>
      </c>
      <c r="S170" s="191">
        <f t="shared" si="258"/>
        <v>15</v>
      </c>
      <c r="T170" s="191">
        <f t="shared" si="259"/>
        <v>0.58774854388431397</v>
      </c>
      <c r="U170" s="191">
        <f t="shared" si="196"/>
        <v>2.1249370432740582</v>
      </c>
      <c r="V170" s="191">
        <f t="shared" si="197"/>
        <v>1.803145010611146</v>
      </c>
      <c r="W170" s="175">
        <f t="shared" si="198"/>
        <v>350</v>
      </c>
      <c r="X170" s="386">
        <f t="shared" si="199"/>
        <v>254.57716673991465</v>
      </c>
      <c r="Z170" s="191">
        <f t="shared" si="200"/>
        <v>0.42750674016451157</v>
      </c>
      <c r="AA170" s="153">
        <f t="shared" si="201"/>
        <v>1.3115415657788541</v>
      </c>
      <c r="AB170" s="153">
        <f t="shared" si="260"/>
        <v>4.7478024382677106E-2</v>
      </c>
      <c r="AC170" s="153"/>
      <c r="AD170" s="153">
        <f t="shared" si="203"/>
        <v>0.46018276762402083</v>
      </c>
      <c r="AE170" s="317">
        <f t="shared" si="261"/>
        <v>1738.4397163120568</v>
      </c>
      <c r="AF170" s="463">
        <f t="shared" si="262"/>
        <v>1.2079797650130546E-2</v>
      </c>
      <c r="AH170" s="153">
        <f t="shared" si="263"/>
        <v>0.475541604519709</v>
      </c>
      <c r="AI170" s="153">
        <f t="shared" si="264"/>
        <v>0.58774854388431397</v>
      </c>
      <c r="AJ170" s="153">
        <f t="shared" si="265"/>
        <v>1.5242581806550473</v>
      </c>
      <c r="AL170" s="317">
        <f t="shared" si="266"/>
        <v>60</v>
      </c>
      <c r="AM170" s="147">
        <f t="shared" si="267"/>
        <v>254.57716673991465</v>
      </c>
      <c r="AO170">
        <f t="shared" si="211"/>
        <v>60</v>
      </c>
      <c r="AP170">
        <f t="shared" si="212"/>
        <v>254.57716673991465</v>
      </c>
      <c r="AR170" s="5">
        <f t="shared" si="249"/>
        <v>3.9280820538852037</v>
      </c>
      <c r="AS170" s="5">
        <f t="shared" si="246"/>
        <v>2.1249370432740582</v>
      </c>
      <c r="AT170" s="5">
        <f t="shared" si="247"/>
        <v>1.8031450106111455</v>
      </c>
      <c r="AU170" s="153">
        <f t="shared" si="248"/>
        <v>0.54096045197740117</v>
      </c>
      <c r="AW170" s="5">
        <f t="shared" ref="AW170:AW210" si="275">F170*AS170/Vout_ripple*1000</f>
        <v>0.84997481730962332</v>
      </c>
      <c r="AX170" s="5"/>
      <c r="AY170" s="5">
        <f t="shared" ref="AY170:AY210" si="276">G170*AS170/Vout_ripple2*1000</f>
        <v>0.79685139122777182</v>
      </c>
      <c r="AZ170" s="5"/>
      <c r="BA170" s="5">
        <f t="shared" ref="BA170:BA210" si="277">H170/Efficiency/J170*AT170/Vinripple1</f>
        <v>0.18493794980627132</v>
      </c>
      <c r="BB170" s="5"/>
      <c r="BC170" s="5"/>
      <c r="BD170" s="153">
        <f t="shared" ref="BD170:BD210" si="278">AI170*SQRT(AU170/3)</f>
        <v>0.24958224830320191</v>
      </c>
      <c r="BE170" s="153">
        <f t="shared" ref="BE170:BE210" si="279">AI170*Npri_sec1*SQRT((1-AU170)/3)*(Pout/Pout_total)</f>
        <v>0.22990900724263932</v>
      </c>
      <c r="BF170" s="153">
        <f t="shared" ref="BF170:BF210" si="280">AI170*Npri_sec2*SQRT((1-AU170)/3)*(Pout2/Pout_total)</f>
        <v>0.23020954189262968</v>
      </c>
      <c r="BG170" s="153"/>
      <c r="BH170" s="463">
        <f t="shared" ref="BH170:BH210" si="281">Rdson*BD170^2</f>
        <v>2.1801954533828397E-2</v>
      </c>
      <c r="BI170" s="463">
        <f t="shared" ref="BI170:BI210" si="282">0.5*L170*AI170*AM170*1000*Trise</f>
        <v>2.1187234042553189E-2</v>
      </c>
      <c r="BJ170" s="463">
        <f t="shared" ref="BJ170:BJ210" si="283">Qg*Vdd*AM170*1000</f>
        <v>3.1822145842489331E-3</v>
      </c>
      <c r="BK170" s="463">
        <f t="shared" ref="BK170:BK210" si="284">0.5*(Coss+Csw)*L170^2*AM170*1000</f>
        <v>1.0208829512697326E-2</v>
      </c>
      <c r="BL170">
        <f t="shared" ref="BL170:BL210" si="285">J170*IQ</f>
        <v>3.7699999999999999E-3</v>
      </c>
      <c r="BM170">
        <f t="shared" si="268"/>
        <v>5.0915433347982931E-6</v>
      </c>
      <c r="BN170">
        <f t="shared" si="269"/>
        <v>6.3353424734326383E-2</v>
      </c>
      <c r="BO170" s="147">
        <f t="shared" ref="BO170:BO210" si="286">SUM(BH170:BL170)*1000</f>
        <v>60.150232673327849</v>
      </c>
      <c r="BP170" s="153">
        <f t="shared" ref="BP170:BP210" si="287">Vfwd2*F170</f>
        <v>2.4E-2</v>
      </c>
      <c r="BQ170" s="153">
        <f t="shared" ref="BQ170:BQ210" si="288">Vfwd2*G170</f>
        <v>2.4E-2</v>
      </c>
      <c r="BR170" s="463"/>
      <c r="BT170" s="147">
        <f t="shared" ref="BT170:BT210" si="289">SUM(BP170:BS170)*1000</f>
        <v>48</v>
      </c>
      <c r="BU170" s="463">
        <f t="shared" ref="BU170:BU210" si="290">Rdcr_pri*BD170^2</f>
        <v>6.2291298668081134E-2</v>
      </c>
      <c r="BV170" s="463">
        <f t="shared" ref="BV170:BV210" si="291">Rdcr_sec*BE170^2</f>
        <v>5.2858151611295978E-2</v>
      </c>
      <c r="BW170" s="463">
        <f t="shared" ref="BW170:BW210" si="292">Rdcr_sec2*BF170^2</f>
        <v>2.6498216589207211E-3</v>
      </c>
      <c r="BX170" s="463">
        <f t="shared" ref="BX170:BX210" si="293">AI170^2.5*AM170^2.5*k_core</f>
        <v>0</v>
      </c>
      <c r="BY170" s="463">
        <f t="shared" si="274"/>
        <v>0.13319036279218294</v>
      </c>
      <c r="BZ170" s="463">
        <f t="shared" si="250"/>
        <v>0.11779927193829784</v>
      </c>
      <c r="CA170" s="549">
        <f t="shared" si="270"/>
        <v>4.397163120567376E-2</v>
      </c>
      <c r="CB170" s="147">
        <f t="shared" ref="CB170:CB192" si="294">SUM(BU170:CA170)*1000</f>
        <v>412.76053787445238</v>
      </c>
      <c r="CC170" s="153">
        <f t="shared" si="251"/>
        <v>0.28851541873218306</v>
      </c>
      <c r="CD170" s="5">
        <f t="shared" ref="CD170:CD192" si="295">MIN(H170+I170,O170+P170)</f>
        <v>1.8599999999999999</v>
      </c>
      <c r="CE170" s="153">
        <f t="shared" ref="CE170:CE192" si="296">CD170/(CD170+CC170)</f>
        <v>0.86571405715001426</v>
      </c>
      <c r="CF170" s="5">
        <f t="shared" ref="CF170:CF192" si="297">CE170*100</f>
        <v>86.571405715001433</v>
      </c>
      <c r="CG170">
        <f t="shared" ref="CG170:CG192" si="298">F170/Iout*100</f>
        <v>60</v>
      </c>
      <c r="CI170" s="59">
        <f t="shared" si="271"/>
        <v>-50</v>
      </c>
      <c r="CJ170">
        <f t="shared" si="272"/>
        <v>-50</v>
      </c>
    </row>
    <row r="171" spans="5:88" x14ac:dyDescent="0.25">
      <c r="E171" s="150">
        <v>61</v>
      </c>
      <c r="F171" s="191">
        <f t="shared" si="273"/>
        <v>6.0999999999999999E-2</v>
      </c>
      <c r="G171" s="191">
        <f t="shared" si="252"/>
        <v>6.0999999999999999E-2</v>
      </c>
      <c r="H171" s="191">
        <f t="shared" si="253"/>
        <v>0.91500000000000004</v>
      </c>
      <c r="I171" s="191">
        <f t="shared" si="254"/>
        <v>0.97599999999999998</v>
      </c>
      <c r="J171" s="472">
        <f t="shared" si="186"/>
        <v>13</v>
      </c>
      <c r="K171" s="386">
        <f t="shared" si="187"/>
        <v>15.32</v>
      </c>
      <c r="L171" s="386">
        <f t="shared" si="188"/>
        <v>28.32</v>
      </c>
      <c r="M171" s="386"/>
      <c r="N171" s="191">
        <f t="shared" si="189"/>
        <v>0.54096045197740117</v>
      </c>
      <c r="O171" s="152">
        <f t="shared" si="255"/>
        <v>1.1484503143794424</v>
      </c>
      <c r="P171" s="152">
        <f t="shared" si="256"/>
        <v>2.5316949152542376</v>
      </c>
      <c r="Q171" s="191">
        <f t="shared" si="192"/>
        <v>7.6563354291962829E-2</v>
      </c>
      <c r="R171" s="191">
        <f t="shared" si="257"/>
        <v>7.1778144648715153E-2</v>
      </c>
      <c r="S171" s="191">
        <f t="shared" si="258"/>
        <v>15</v>
      </c>
      <c r="T171" s="191">
        <f t="shared" si="259"/>
        <v>0.59754435294905262</v>
      </c>
      <c r="U171" s="191">
        <f t="shared" si="196"/>
        <v>2.160352660661959</v>
      </c>
      <c r="V171" s="191">
        <f t="shared" si="197"/>
        <v>1.8331974274546652</v>
      </c>
      <c r="W171" s="175">
        <f t="shared" si="198"/>
        <v>350</v>
      </c>
      <c r="X171" s="386">
        <f t="shared" si="199"/>
        <v>250.40377056385049</v>
      </c>
      <c r="Z171" s="191">
        <f t="shared" si="200"/>
        <v>0.42750674016451157</v>
      </c>
      <c r="AA171" s="153">
        <f t="shared" si="201"/>
        <v>1.3115415657788541</v>
      </c>
      <c r="AB171" s="153">
        <f t="shared" si="260"/>
        <v>4.7478024382677106E-2</v>
      </c>
      <c r="AC171" s="153"/>
      <c r="AD171" s="153">
        <f t="shared" si="203"/>
        <v>0.46018276762402083</v>
      </c>
      <c r="AE171" s="317">
        <f t="shared" si="261"/>
        <v>1767.4137115839246</v>
      </c>
      <c r="AF171" s="463">
        <f t="shared" si="262"/>
        <v>1.2079797650130546E-2</v>
      </c>
      <c r="AH171" s="153">
        <f t="shared" si="263"/>
        <v>0.47948807554481027</v>
      </c>
      <c r="AI171" s="153">
        <f t="shared" si="264"/>
        <v>0.59754435294905262</v>
      </c>
      <c r="AJ171" s="153">
        <f t="shared" si="265"/>
        <v>1.5315143355178167</v>
      </c>
      <c r="AL171" s="317">
        <f t="shared" si="266"/>
        <v>61</v>
      </c>
      <c r="AM171" s="147">
        <f t="shared" si="267"/>
        <v>250.40377056385049</v>
      </c>
      <c r="AO171">
        <f t="shared" si="211"/>
        <v>61</v>
      </c>
      <c r="AP171">
        <f t="shared" si="212"/>
        <v>250.40377056385049</v>
      </c>
      <c r="AR171" s="5">
        <f t="shared" si="249"/>
        <v>3.9935500881166237</v>
      </c>
      <c r="AS171" s="5">
        <f t="shared" si="246"/>
        <v>2.160352660661959</v>
      </c>
      <c r="AT171" s="5">
        <f t="shared" si="247"/>
        <v>1.8331974274546647</v>
      </c>
      <c r="AU171" s="153">
        <f t="shared" si="248"/>
        <v>0.54096045197740117</v>
      </c>
      <c r="AW171" s="5">
        <f t="shared" si="275"/>
        <v>0.87854341533586322</v>
      </c>
      <c r="AX171" s="5"/>
      <c r="AY171" s="5">
        <f t="shared" si="276"/>
        <v>0.82363445187737183</v>
      </c>
      <c r="AZ171" s="5"/>
      <c r="BA171" s="5">
        <f t="shared" si="277"/>
        <v>0.19115391978587104</v>
      </c>
      <c r="BB171" s="5"/>
      <c r="BC171" s="5"/>
      <c r="BD171" s="153">
        <f t="shared" si="278"/>
        <v>0.25374195244158865</v>
      </c>
      <c r="BE171" s="153">
        <f t="shared" si="279"/>
        <v>0.23374082403001667</v>
      </c>
      <c r="BF171" s="153">
        <f t="shared" si="280"/>
        <v>0.23404636759084024</v>
      </c>
      <c r="BG171" s="153"/>
      <c r="BH171" s="463">
        <f t="shared" si="281"/>
        <v>2.2534742450104301E-2</v>
      </c>
      <c r="BI171" s="463">
        <f t="shared" si="282"/>
        <v>2.1187234042553193E-2</v>
      </c>
      <c r="BJ171" s="463">
        <f t="shared" si="283"/>
        <v>3.1300471320481311E-3</v>
      </c>
      <c r="BK171" s="463">
        <f t="shared" si="284"/>
        <v>1.0041471651833436E-2</v>
      </c>
      <c r="BL171">
        <f t="shared" si="285"/>
        <v>3.7699999999999999E-3</v>
      </c>
      <c r="BM171">
        <f t="shared" si="268"/>
        <v>5.0080754112770097E-6</v>
      </c>
      <c r="BN171">
        <f t="shared" si="269"/>
        <v>6.3976686893595688E-2</v>
      </c>
      <c r="BO171" s="147">
        <f t="shared" si="286"/>
        <v>60.663495276539066</v>
      </c>
      <c r="BP171" s="153">
        <f t="shared" si="287"/>
        <v>2.4400000000000002E-2</v>
      </c>
      <c r="BQ171" s="153">
        <f t="shared" si="288"/>
        <v>2.4400000000000002E-2</v>
      </c>
      <c r="BR171" s="463"/>
      <c r="BT171" s="147">
        <f t="shared" si="289"/>
        <v>48.800000000000004</v>
      </c>
      <c r="BU171" s="463">
        <f t="shared" si="290"/>
        <v>6.4384978428869435E-2</v>
      </c>
      <c r="BV171" s="463">
        <f t="shared" si="291"/>
        <v>5.4634772818231217E-2</v>
      </c>
      <c r="BW171" s="463">
        <f t="shared" si="292"/>
        <v>2.7388851091233357E-3</v>
      </c>
      <c r="BX171" s="463">
        <f t="shared" si="293"/>
        <v>0</v>
      </c>
      <c r="BY171" s="463">
        <f t="shared" si="274"/>
        <v>0.13771107372278188</v>
      </c>
      <c r="BZ171" s="463">
        <f t="shared" si="250"/>
        <v>0.12175863635622398</v>
      </c>
      <c r="CA171" s="549">
        <f t="shared" si="270"/>
        <v>4.4704491725768333E-2</v>
      </c>
      <c r="CB171" s="147">
        <f t="shared" si="294"/>
        <v>425.93283816099819</v>
      </c>
      <c r="CC171" s="153">
        <f t="shared" si="251"/>
        <v>0.29519225234214591</v>
      </c>
      <c r="CD171" s="5">
        <f t="shared" si="295"/>
        <v>1.891</v>
      </c>
      <c r="CE171" s="153">
        <f t="shared" si="296"/>
        <v>0.86497424825017288</v>
      </c>
      <c r="CF171" s="5">
        <f t="shared" si="297"/>
        <v>86.497424825017291</v>
      </c>
      <c r="CG171">
        <f t="shared" si="298"/>
        <v>61</v>
      </c>
      <c r="CI171" s="59">
        <f t="shared" si="271"/>
        <v>-50</v>
      </c>
      <c r="CJ171">
        <f t="shared" si="272"/>
        <v>-50</v>
      </c>
    </row>
    <row r="172" spans="5:88" x14ac:dyDescent="0.25">
      <c r="E172" s="150">
        <v>62</v>
      </c>
      <c r="F172" s="191">
        <f t="shared" si="273"/>
        <v>6.2E-2</v>
      </c>
      <c r="G172" s="191">
        <f t="shared" si="252"/>
        <v>6.2E-2</v>
      </c>
      <c r="H172" s="191">
        <f t="shared" si="253"/>
        <v>0.92999999999999994</v>
      </c>
      <c r="I172" s="191">
        <f t="shared" si="254"/>
        <v>0.99199999999999999</v>
      </c>
      <c r="J172" s="472">
        <f t="shared" si="186"/>
        <v>13</v>
      </c>
      <c r="K172" s="386">
        <f t="shared" si="187"/>
        <v>15.32</v>
      </c>
      <c r="L172" s="386">
        <f t="shared" si="188"/>
        <v>28.32</v>
      </c>
      <c r="M172" s="386"/>
      <c r="N172" s="191">
        <f t="shared" si="189"/>
        <v>0.54096045197740117</v>
      </c>
      <c r="O172" s="152">
        <f t="shared" si="255"/>
        <v>1.1484503143794424</v>
      </c>
      <c r="P172" s="152">
        <f t="shared" si="256"/>
        <v>2.5316949152542376</v>
      </c>
      <c r="Q172" s="191">
        <f t="shared" si="192"/>
        <v>7.6563354291962829E-2</v>
      </c>
      <c r="R172" s="191">
        <f t="shared" si="257"/>
        <v>7.1778144648715153E-2</v>
      </c>
      <c r="S172" s="191">
        <f t="shared" si="258"/>
        <v>15</v>
      </c>
      <c r="T172" s="191">
        <f t="shared" si="259"/>
        <v>0.60734016201379115</v>
      </c>
      <c r="U172" s="191">
        <f t="shared" si="196"/>
        <v>2.1957682780498602</v>
      </c>
      <c r="V172" s="191">
        <f t="shared" si="197"/>
        <v>1.8632498442981844</v>
      </c>
      <c r="W172" s="175">
        <f t="shared" si="198"/>
        <v>350</v>
      </c>
      <c r="X172" s="386">
        <f t="shared" si="199"/>
        <v>246.36500007088515</v>
      </c>
      <c r="Z172" s="191">
        <f t="shared" si="200"/>
        <v>0.42750674016451157</v>
      </c>
      <c r="AA172" s="153">
        <f t="shared" si="201"/>
        <v>1.3115415657788541</v>
      </c>
      <c r="AB172" s="153">
        <f t="shared" si="260"/>
        <v>4.7478024382677106E-2</v>
      </c>
      <c r="AC172" s="153"/>
      <c r="AD172" s="153">
        <f t="shared" si="203"/>
        <v>0.46018276762402083</v>
      </c>
      <c r="AE172" s="317">
        <f t="shared" si="261"/>
        <v>1796.3877068557924</v>
      </c>
      <c r="AF172" s="463">
        <f t="shared" si="262"/>
        <v>1.2079797650130546E-2</v>
      </c>
      <c r="AH172" s="153">
        <f t="shared" si="263"/>
        <v>0.48340232886297929</v>
      </c>
      <c r="AI172" s="153">
        <f t="shared" si="264"/>
        <v>0.60734016201379115</v>
      </c>
      <c r="AJ172" s="153">
        <f t="shared" si="265"/>
        <v>1.5387704903805859</v>
      </c>
      <c r="AL172" s="317">
        <f t="shared" si="266"/>
        <v>62</v>
      </c>
      <c r="AM172" s="147">
        <f t="shared" si="267"/>
        <v>246.36500007088515</v>
      </c>
      <c r="AO172">
        <f t="shared" si="211"/>
        <v>62</v>
      </c>
      <c r="AP172">
        <f t="shared" si="212"/>
        <v>246.36500007088515</v>
      </c>
      <c r="AR172" s="5">
        <f t="shared" si="249"/>
        <v>4.0590181223480446</v>
      </c>
      <c r="AS172" s="5">
        <f t="shared" si="246"/>
        <v>2.1957682780498602</v>
      </c>
      <c r="AT172" s="5">
        <f t="shared" si="247"/>
        <v>1.8632498442981844</v>
      </c>
      <c r="AU172" s="153">
        <f t="shared" si="248"/>
        <v>0.54096045197740106</v>
      </c>
      <c r="AW172" s="5">
        <f t="shared" si="275"/>
        <v>0.90758422159394225</v>
      </c>
      <c r="AX172" s="5"/>
      <c r="AY172" s="5">
        <f t="shared" si="276"/>
        <v>0.85086020774432081</v>
      </c>
      <c r="AZ172" s="5"/>
      <c r="BA172" s="5">
        <f t="shared" si="277"/>
        <v>0.19747263307091867</v>
      </c>
      <c r="BB172" s="5"/>
      <c r="BC172" s="5"/>
      <c r="BD172" s="153">
        <f t="shared" si="278"/>
        <v>0.25790165657997527</v>
      </c>
      <c r="BE172" s="153">
        <f t="shared" si="279"/>
        <v>0.23757264081739402</v>
      </c>
      <c r="BF172" s="153">
        <f t="shared" si="280"/>
        <v>0.23788319328905075</v>
      </c>
      <c r="BG172" s="153"/>
      <c r="BH172" s="463">
        <f t="shared" si="281"/>
        <v>2.3279642563343424E-2</v>
      </c>
      <c r="BI172" s="463">
        <f t="shared" si="282"/>
        <v>2.1187234042553189E-2</v>
      </c>
      <c r="BJ172" s="463">
        <f t="shared" si="283"/>
        <v>3.0795625008860641E-3</v>
      </c>
      <c r="BK172" s="463">
        <f t="shared" si="284"/>
        <v>9.8795124316425741E-3</v>
      </c>
      <c r="BL172">
        <f t="shared" si="285"/>
        <v>3.7699999999999999E-3</v>
      </c>
      <c r="BM172">
        <f t="shared" si="268"/>
        <v>4.927300001417703E-6</v>
      </c>
      <c r="BN172">
        <f t="shared" si="269"/>
        <v>6.4621184650363539E-2</v>
      </c>
      <c r="BO172" s="147">
        <f t="shared" si="286"/>
        <v>61.195951538425255</v>
      </c>
      <c r="BP172" s="153">
        <f t="shared" si="287"/>
        <v>2.4800000000000003E-2</v>
      </c>
      <c r="BQ172" s="153">
        <f t="shared" si="288"/>
        <v>2.4800000000000003E-2</v>
      </c>
      <c r="BR172" s="463"/>
      <c r="BT172" s="147">
        <f t="shared" si="289"/>
        <v>49.600000000000009</v>
      </c>
      <c r="BU172" s="463">
        <f t="shared" si="290"/>
        <v>6.6513264466695504E-2</v>
      </c>
      <c r="BV172" s="463">
        <f t="shared" si="291"/>
        <v>5.6440759664950511E-2</v>
      </c>
      <c r="BW172" s="463">
        <f t="shared" si="292"/>
        <v>2.8294206824697942E-3</v>
      </c>
      <c r="BX172" s="463">
        <f t="shared" si="293"/>
        <v>0</v>
      </c>
      <c r="BY172" s="463">
        <f t="shared" si="274"/>
        <v>0.14230947224368895</v>
      </c>
      <c r="BZ172" s="463">
        <f t="shared" si="250"/>
        <v>0.12578344481411582</v>
      </c>
      <c r="CA172" s="549">
        <f t="shared" si="270"/>
        <v>4.5437352245862886E-2</v>
      </c>
      <c r="CB172" s="147">
        <f t="shared" si="294"/>
        <v>439.31371411778355</v>
      </c>
      <c r="CC172" s="153">
        <f t="shared" si="251"/>
        <v>0.30196800913991539</v>
      </c>
      <c r="CD172" s="5">
        <f t="shared" si="295"/>
        <v>1.9219999999999999</v>
      </c>
      <c r="CE172" s="153">
        <f t="shared" si="296"/>
        <v>0.86422106437731694</v>
      </c>
      <c r="CF172" s="5">
        <f t="shared" si="297"/>
        <v>86.422106437731699</v>
      </c>
      <c r="CG172">
        <f t="shared" si="298"/>
        <v>62</v>
      </c>
      <c r="CI172" s="59">
        <f t="shared" si="271"/>
        <v>-50</v>
      </c>
      <c r="CJ172">
        <f t="shared" si="272"/>
        <v>-50</v>
      </c>
    </row>
    <row r="173" spans="5:88" x14ac:dyDescent="0.25">
      <c r="E173" s="150">
        <v>63</v>
      </c>
      <c r="F173" s="191">
        <f t="shared" si="273"/>
        <v>6.3E-2</v>
      </c>
      <c r="G173" s="191">
        <f t="shared" si="252"/>
        <v>6.3E-2</v>
      </c>
      <c r="H173" s="191">
        <f t="shared" si="253"/>
        <v>0.94500000000000006</v>
      </c>
      <c r="I173" s="191">
        <f t="shared" si="254"/>
        <v>1.008</v>
      </c>
      <c r="J173" s="472">
        <f t="shared" si="186"/>
        <v>13</v>
      </c>
      <c r="K173" s="386">
        <f t="shared" si="187"/>
        <v>15.32</v>
      </c>
      <c r="L173" s="386">
        <f t="shared" si="188"/>
        <v>28.32</v>
      </c>
      <c r="M173" s="386"/>
      <c r="N173" s="191">
        <f t="shared" si="189"/>
        <v>0.54096045197740117</v>
      </c>
      <c r="O173" s="152">
        <f t="shared" si="255"/>
        <v>1.1484503143794424</v>
      </c>
      <c r="P173" s="152">
        <f t="shared" si="256"/>
        <v>2.5316949152542376</v>
      </c>
      <c r="Q173" s="191">
        <f t="shared" si="192"/>
        <v>7.6563354291962829E-2</v>
      </c>
      <c r="R173" s="191">
        <f t="shared" si="257"/>
        <v>7.1778144648715153E-2</v>
      </c>
      <c r="S173" s="191">
        <f t="shared" si="258"/>
        <v>15</v>
      </c>
      <c r="T173" s="191">
        <f t="shared" si="259"/>
        <v>0.61713597107852969</v>
      </c>
      <c r="U173" s="191">
        <f t="shared" si="196"/>
        <v>2.231183895437761</v>
      </c>
      <c r="V173" s="191">
        <f t="shared" si="197"/>
        <v>1.8933022611417034</v>
      </c>
      <c r="W173" s="175">
        <f t="shared" si="198"/>
        <v>350</v>
      </c>
      <c r="X173" s="386">
        <f t="shared" si="199"/>
        <v>242.45444451420445</v>
      </c>
      <c r="Z173" s="191">
        <f t="shared" si="200"/>
        <v>0.42750674016451157</v>
      </c>
      <c r="AA173" s="153">
        <f t="shared" si="201"/>
        <v>1.3115415657788541</v>
      </c>
      <c r="AB173" s="153">
        <f t="shared" si="260"/>
        <v>4.7478024382677106E-2</v>
      </c>
      <c r="AC173" s="153"/>
      <c r="AD173" s="153">
        <f t="shared" si="203"/>
        <v>0.46018276762402083</v>
      </c>
      <c r="AE173" s="317">
        <f t="shared" si="261"/>
        <v>1825.3617021276598</v>
      </c>
      <c r="AF173" s="463">
        <f t="shared" si="262"/>
        <v>1.2079797650130546E-2</v>
      </c>
      <c r="AH173" s="153">
        <f t="shared" si="263"/>
        <v>0.48728514086788888</v>
      </c>
      <c r="AI173" s="153">
        <f t="shared" si="264"/>
        <v>0.61713597107852969</v>
      </c>
      <c r="AJ173" s="153">
        <f t="shared" si="265"/>
        <v>1.5460266452433553</v>
      </c>
      <c r="AL173" s="317">
        <f t="shared" si="266"/>
        <v>63</v>
      </c>
      <c r="AM173" s="147">
        <f t="shared" si="267"/>
        <v>242.45444451420445</v>
      </c>
      <c r="AO173">
        <f t="shared" si="211"/>
        <v>63</v>
      </c>
      <c r="AP173">
        <f t="shared" si="212"/>
        <v>242.45444451420445</v>
      </c>
      <c r="AR173" s="5">
        <f t="shared" si="249"/>
        <v>4.1244861565794642</v>
      </c>
      <c r="AS173" s="5">
        <f t="shared" si="246"/>
        <v>2.231183895437761</v>
      </c>
      <c r="AT173" s="5">
        <f t="shared" si="247"/>
        <v>1.8933022611417032</v>
      </c>
      <c r="AU173" s="153">
        <f t="shared" si="248"/>
        <v>0.54096045197740117</v>
      </c>
      <c r="AW173" s="5">
        <f t="shared" si="275"/>
        <v>0.93709723608385964</v>
      </c>
      <c r="AX173" s="5"/>
      <c r="AY173" s="5">
        <f t="shared" si="276"/>
        <v>0.8785286588286183</v>
      </c>
      <c r="AZ173" s="5"/>
      <c r="BA173" s="5">
        <f t="shared" si="277"/>
        <v>0.2038940896614142</v>
      </c>
      <c r="BB173" s="5"/>
      <c r="BC173" s="5"/>
      <c r="BD173" s="153">
        <f t="shared" si="278"/>
        <v>0.262061360718362</v>
      </c>
      <c r="BE173" s="153">
        <f t="shared" si="279"/>
        <v>0.24140445760477131</v>
      </c>
      <c r="BF173" s="153">
        <f t="shared" si="280"/>
        <v>0.24172001898726117</v>
      </c>
      <c r="BG173" s="153"/>
      <c r="BH173" s="463">
        <f t="shared" si="281"/>
        <v>2.4036654873545803E-2</v>
      </c>
      <c r="BI173" s="463">
        <f t="shared" si="282"/>
        <v>2.1187234042553193E-2</v>
      </c>
      <c r="BJ173" s="463">
        <f t="shared" si="283"/>
        <v>3.0306805564275555E-3</v>
      </c>
      <c r="BK173" s="463">
        <f t="shared" si="284"/>
        <v>9.7226947739974551E-3</v>
      </c>
      <c r="BL173">
        <f t="shared" si="285"/>
        <v>3.7699999999999999E-3</v>
      </c>
      <c r="BM173">
        <f t="shared" si="268"/>
        <v>4.8490888902840889E-6</v>
      </c>
      <c r="BN173">
        <f t="shared" si="269"/>
        <v>6.5286592295772966E-2</v>
      </c>
      <c r="BO173" s="147">
        <f t="shared" si="286"/>
        <v>61.747264246524004</v>
      </c>
      <c r="BP173" s="153">
        <f t="shared" si="287"/>
        <v>2.52E-2</v>
      </c>
      <c r="BQ173" s="153">
        <f t="shared" si="288"/>
        <v>2.52E-2</v>
      </c>
      <c r="BR173" s="463"/>
      <c r="BT173" s="147">
        <f t="shared" si="289"/>
        <v>50.4</v>
      </c>
      <c r="BU173" s="463">
        <f t="shared" si="290"/>
        <v>6.8676156781559444E-2</v>
      </c>
      <c r="BV173" s="463">
        <f t="shared" si="291"/>
        <v>5.8276112151453827E-2</v>
      </c>
      <c r="BW173" s="463">
        <f t="shared" si="292"/>
        <v>2.9214283789600953E-3</v>
      </c>
      <c r="BX173" s="463">
        <f t="shared" si="293"/>
        <v>0</v>
      </c>
      <c r="BY173" s="463">
        <f t="shared" si="274"/>
        <v>0.14698570716877205</v>
      </c>
      <c r="BZ173" s="463">
        <f t="shared" si="250"/>
        <v>0.12987369731197335</v>
      </c>
      <c r="CA173" s="549">
        <f t="shared" si="270"/>
        <v>4.6170212765957452E-2</v>
      </c>
      <c r="CB173" s="147">
        <f t="shared" si="294"/>
        <v>452.90331455867624</v>
      </c>
      <c r="CC173" s="153">
        <f t="shared" si="251"/>
        <v>0.30884251223050246</v>
      </c>
      <c r="CD173" s="5">
        <f t="shared" si="295"/>
        <v>1.9530000000000001</v>
      </c>
      <c r="CE173" s="153">
        <f t="shared" si="296"/>
        <v>0.86345534202293361</v>
      </c>
      <c r="CF173" s="5">
        <f t="shared" si="297"/>
        <v>86.345534202293365</v>
      </c>
      <c r="CG173">
        <f t="shared" si="298"/>
        <v>63</v>
      </c>
      <c r="CI173" s="59">
        <f t="shared" si="271"/>
        <v>-50</v>
      </c>
      <c r="CJ173">
        <f t="shared" si="272"/>
        <v>-50</v>
      </c>
    </row>
    <row r="174" spans="5:88" x14ac:dyDescent="0.25">
      <c r="E174" s="150">
        <v>64</v>
      </c>
      <c r="F174" s="191">
        <f t="shared" si="273"/>
        <v>6.4000000000000001E-2</v>
      </c>
      <c r="G174" s="191">
        <f t="shared" ref="G174:G210" si="299">IF(PLOT_TYPE=1, E174/100*Iout2, min_I*EXP(Q174*rr/100))</f>
        <v>6.4000000000000001E-2</v>
      </c>
      <c r="H174" s="191">
        <f t="shared" ref="H174:H210" si="300">F174*Vout</f>
        <v>0.96</v>
      </c>
      <c r="I174" s="191">
        <f t="shared" ref="I174:I210" si="301">Vout2*G174</f>
        <v>1.024</v>
      </c>
      <c r="J174" s="472">
        <f t="shared" ref="J174:J210" si="302">VIN_min</f>
        <v>13</v>
      </c>
      <c r="K174" s="386">
        <f t="shared" ref="K174:K210" si="303">(S174+Vfwd1)*Nps</f>
        <v>15.32</v>
      </c>
      <c r="L174" s="386">
        <f t="shared" ref="L174:L210" si="304">(Vout+Vfwd1)*Nps+J174</f>
        <v>28.32</v>
      </c>
      <c r="M174" s="386"/>
      <c r="N174" s="191">
        <f t="shared" ref="N174:N210" si="305">(Vout+Vfwd1)*Nps/((Vout+Vfwd1)*Nps+J174)</f>
        <v>0.54096045197740117</v>
      </c>
      <c r="O174" s="152">
        <f t="shared" ref="O174:O205" si="306">N174*J174*Isw_max*0.5*Efficiency*Pout/(Pout+Pout2)</f>
        <v>1.1484503143794424</v>
      </c>
      <c r="P174" s="152">
        <f t="shared" ref="P174:P210" si="307">N174*J174*Isw_max*0.5*Efficiency*(Pout2/Pout_total)</f>
        <v>2.5316949152542376</v>
      </c>
      <c r="Q174" s="191">
        <f t="shared" ref="Q174:Q210" si="308">O174/Vout</f>
        <v>7.6563354291962829E-2</v>
      </c>
      <c r="R174" s="191">
        <f t="shared" ref="R174:R210" si="309">O174/Vout2</f>
        <v>7.1778144648715153E-2</v>
      </c>
      <c r="S174" s="191">
        <f t="shared" ref="S174:S210" si="310">MIN(Vout,O174/F174)</f>
        <v>15</v>
      </c>
      <c r="T174" s="191">
        <f t="shared" ref="T174:T210" si="311">MIN(2*(Vout*F174+Vout2*G174)/(Efficiency*J174*N174), Isw_max)</f>
        <v>0.62693178014326822</v>
      </c>
      <c r="U174" s="191">
        <f t="shared" ref="U174:U210" si="312">L*T174/J174*1000000</f>
        <v>2.2665995128256617</v>
      </c>
      <c r="V174" s="191">
        <f t="shared" ref="V174:V210" si="313">L*T174/K174*1000000</f>
        <v>1.923354677985222</v>
      </c>
      <c r="W174" s="175">
        <f t="shared" ref="W174:W210" si="314">IF(1/((350000*L)*(1/J174+1/K174))&gt;Isw_min, 350, 0.001/((Isw_min*L)*(1/J174+1/K174)))</f>
        <v>350</v>
      </c>
      <c r="X174" s="386">
        <f t="shared" ref="X174:X210" si="315">MIN(1/(U174+V174)*1000, 350)</f>
        <v>238.66609381867002</v>
      </c>
      <c r="Z174" s="191">
        <f t="shared" ref="Z174:Z210" si="316">1/((W174*1000*L)*(1/J174+1/K174))</f>
        <v>0.42750674016451157</v>
      </c>
      <c r="AA174" s="153">
        <f t="shared" ref="AA174:AA210" si="317">L*Z174/K174*1000000</f>
        <v>1.3115415657788541</v>
      </c>
      <c r="AB174" s="153">
        <f t="shared" ref="AB174:AB205" si="318">0.5*AA174*Z174*Nps*W174/1000*(Pout/(Pout+Pout2))</f>
        <v>4.7478024382677106E-2</v>
      </c>
      <c r="AC174" s="153"/>
      <c r="AD174" s="153">
        <f t="shared" ref="AD174:AD210" si="319">L*Isw_min/K174*1000000</f>
        <v>0.46018276762402083</v>
      </c>
      <c r="AE174" s="317">
        <f t="shared" ref="AE174:AE205" si="320">MAX(10, F174/(0.5*AD174/1000000*Isw_min*Nps)/1000*Pout_total/Pout)</f>
        <v>1854.3356973995278</v>
      </c>
      <c r="AF174" s="463">
        <f t="shared" ref="AF174:AF210" si="321">0.5*AD174/1000000*Isw_min*Nps*W174*1000*(Pout/Pout_total)</f>
        <v>1.2079797650130546E-2</v>
      </c>
      <c r="AH174" s="153">
        <f t="shared" ref="AH174:AH210" si="322">SQRT((H174+I174)/(0.5*L*Fsw_DCM))</f>
        <v>0.49113725726228979</v>
      </c>
      <c r="AI174" s="153">
        <f t="shared" ref="AI174:AI205" si="323">MAX(IF(F174&gt;AB174,T174,AH174),Isw_min)</f>
        <v>0.62693178014326822</v>
      </c>
      <c r="AJ174" s="153">
        <f t="shared" ref="AJ174:AJ205" si="324">IF(F174&gt;AF174, (AI174-Isw_min)/1.08*0.8+1.2, AE174*0.2/350+1)</f>
        <v>1.5532828001061245</v>
      </c>
      <c r="AL174" s="317">
        <f t="shared" ref="AL174:AL210" si="325">F174*1000</f>
        <v>64</v>
      </c>
      <c r="AM174" s="147">
        <f t="shared" ref="AM174:AM210" si="326">IF(F174&gt;AF174, X174, AE174)</f>
        <v>238.66609381867002</v>
      </c>
      <c r="AO174">
        <f t="shared" ref="AO174:AO210" si="327">IF(H174&gt;O174, "",AL174)</f>
        <v>64</v>
      </c>
      <c r="AP174">
        <f t="shared" ref="AP174:AP210" si="328">IF(H174&gt;O174, "",AM174)</f>
        <v>238.66609381867002</v>
      </c>
      <c r="AR174" s="5">
        <f t="shared" si="249"/>
        <v>4.1899541908108837</v>
      </c>
      <c r="AS174" s="5">
        <f t="shared" si="246"/>
        <v>2.2665995128256617</v>
      </c>
      <c r="AT174" s="5">
        <f t="shared" si="247"/>
        <v>1.923354677985222</v>
      </c>
      <c r="AU174" s="153">
        <f t="shared" si="248"/>
        <v>0.54096045197740117</v>
      </c>
      <c r="AW174" s="5">
        <f t="shared" si="275"/>
        <v>0.96708245880561572</v>
      </c>
      <c r="AX174" s="5"/>
      <c r="AY174" s="5">
        <f t="shared" si="276"/>
        <v>0.90663980513026476</v>
      </c>
      <c r="AZ174" s="5"/>
      <c r="BA174" s="5">
        <f t="shared" si="277"/>
        <v>0.21041828955735761</v>
      </c>
      <c r="BB174" s="5"/>
      <c r="BC174" s="5"/>
      <c r="BD174" s="153">
        <f t="shared" si="278"/>
        <v>0.26622106485674873</v>
      </c>
      <c r="BE174" s="153">
        <f t="shared" si="279"/>
        <v>0.24523627439214862</v>
      </c>
      <c r="BF174" s="153">
        <f t="shared" si="280"/>
        <v>0.24555684468547168</v>
      </c>
      <c r="BG174" s="153"/>
      <c r="BH174" s="463">
        <f t="shared" si="281"/>
        <v>2.4805779380711424E-2</v>
      </c>
      <c r="BI174" s="463">
        <f t="shared" si="282"/>
        <v>2.1187234042553193E-2</v>
      </c>
      <c r="BJ174" s="463">
        <f t="shared" si="283"/>
        <v>2.983326172733375E-3</v>
      </c>
      <c r="BK174" s="463">
        <f t="shared" si="284"/>
        <v>9.5707776681537449E-3</v>
      </c>
      <c r="BL174">
        <f t="shared" si="285"/>
        <v>3.7699999999999999E-3</v>
      </c>
      <c r="BM174">
        <f t="shared" ref="BM174:BM210" si="329">(J174-Vdd)*Qg*AM174</f>
        <v>4.7733218763734008E-6</v>
      </c>
      <c r="BN174">
        <f t="shared" ref="BN174:BN205" si="330">(BI174+BJ174+BK174+BL174+BM174+BH174*(1+RdsonTC*(Ta-25)))/(1-BH174*RdsonTC*ThetaJA)</f>
        <v>6.5972605402009776E-2</v>
      </c>
      <c r="BO174" s="147">
        <f t="shared" si="286"/>
        <v>62.31711726415174</v>
      </c>
      <c r="BP174" s="153">
        <f t="shared" si="287"/>
        <v>2.5600000000000001E-2</v>
      </c>
      <c r="BQ174" s="153">
        <f t="shared" si="288"/>
        <v>2.5600000000000001E-2</v>
      </c>
      <c r="BR174" s="463"/>
      <c r="BT174" s="147">
        <f t="shared" si="289"/>
        <v>51.2</v>
      </c>
      <c r="BU174" s="463">
        <f t="shared" si="290"/>
        <v>7.0873655373461214E-2</v>
      </c>
      <c r="BV174" s="463">
        <f t="shared" si="291"/>
        <v>6.0140830277741211E-2</v>
      </c>
      <c r="BW174" s="463">
        <f t="shared" si="292"/>
        <v>3.0149081985942432E-3</v>
      </c>
      <c r="BX174" s="463">
        <f t="shared" si="293"/>
        <v>0</v>
      </c>
      <c r="BY174" s="463">
        <f t="shared" si="274"/>
        <v>0.15173992997880184</v>
      </c>
      <c r="BZ174" s="463">
        <f t="shared" si="250"/>
        <v>0.13402939384979667</v>
      </c>
      <c r="CA174" s="549">
        <f t="shared" ref="CA174:CA210" si="331">0.5*Lleak*0.000000001*AI174^2*AM174*1000</f>
        <v>4.6903073286052012E-2</v>
      </c>
      <c r="CB174" s="147">
        <f t="shared" si="294"/>
        <v>466.70179096444724</v>
      </c>
      <c r="CC174" s="153">
        <f t="shared" si="251"/>
        <v>0.31581560866686365</v>
      </c>
      <c r="CD174" s="5">
        <f t="shared" si="295"/>
        <v>1.984</v>
      </c>
      <c r="CE174" s="153">
        <f t="shared" si="296"/>
        <v>0.86267785666089425</v>
      </c>
      <c r="CF174" s="5">
        <f t="shared" si="297"/>
        <v>86.267785666089424</v>
      </c>
      <c r="CG174">
        <f t="shared" si="298"/>
        <v>64</v>
      </c>
      <c r="CI174" s="59">
        <f t="shared" ref="CI174:CI210" si="332">IF(ABS(F174-Ioutmax_Vinmin)&lt;Iout/200, AM174, -50)</f>
        <v>-50</v>
      </c>
      <c r="CJ174">
        <f t="shared" ref="CJ174:CJ210" si="333">IF(ABS(F174-Ioutmax_Vinmin)&lt;Iout/200, (O174+P174)*CE174, -50)</f>
        <v>-50</v>
      </c>
    </row>
    <row r="175" spans="5:88" x14ac:dyDescent="0.25">
      <c r="E175" s="150">
        <v>65</v>
      </c>
      <c r="F175" s="191">
        <f t="shared" ref="F175:F206" si="334">IF(PLOT_TYPE=1, E175/100*Iout_max, min_I*EXP(O175*rr/100))</f>
        <v>6.5000000000000002E-2</v>
      </c>
      <c r="G175" s="191">
        <f t="shared" si="299"/>
        <v>6.5000000000000002E-2</v>
      </c>
      <c r="H175" s="191">
        <f t="shared" si="300"/>
        <v>0.97500000000000009</v>
      </c>
      <c r="I175" s="191">
        <f t="shared" si="301"/>
        <v>1.04</v>
      </c>
      <c r="J175" s="472">
        <f t="shared" si="302"/>
        <v>13</v>
      </c>
      <c r="K175" s="386">
        <f t="shared" si="303"/>
        <v>15.32</v>
      </c>
      <c r="L175" s="386">
        <f t="shared" si="304"/>
        <v>28.32</v>
      </c>
      <c r="M175" s="386"/>
      <c r="N175" s="191">
        <f t="shared" si="305"/>
        <v>0.54096045197740117</v>
      </c>
      <c r="O175" s="152">
        <f t="shared" si="306"/>
        <v>1.1484503143794424</v>
      </c>
      <c r="P175" s="152">
        <f t="shared" si="307"/>
        <v>2.5316949152542376</v>
      </c>
      <c r="Q175" s="191">
        <f t="shared" si="308"/>
        <v>7.6563354291962829E-2</v>
      </c>
      <c r="R175" s="191">
        <f t="shared" si="309"/>
        <v>7.1778144648715153E-2</v>
      </c>
      <c r="S175" s="191">
        <f t="shared" si="310"/>
        <v>15</v>
      </c>
      <c r="T175" s="191">
        <f t="shared" si="311"/>
        <v>0.63672758920800687</v>
      </c>
      <c r="U175" s="191">
        <f t="shared" si="312"/>
        <v>2.302015130213563</v>
      </c>
      <c r="V175" s="191">
        <f t="shared" si="313"/>
        <v>1.9534070948287416</v>
      </c>
      <c r="W175" s="175">
        <f t="shared" si="314"/>
        <v>350</v>
      </c>
      <c r="X175" s="386">
        <f t="shared" si="315"/>
        <v>234.99430775992121</v>
      </c>
      <c r="Z175" s="191">
        <f t="shared" si="316"/>
        <v>0.42750674016451157</v>
      </c>
      <c r="AA175" s="153">
        <f t="shared" si="317"/>
        <v>1.3115415657788541</v>
      </c>
      <c r="AB175" s="153">
        <f t="shared" si="318"/>
        <v>4.7478024382677106E-2</v>
      </c>
      <c r="AC175" s="153"/>
      <c r="AD175" s="153">
        <f t="shared" si="319"/>
        <v>0.46018276762402083</v>
      </c>
      <c r="AE175" s="317">
        <f t="shared" si="320"/>
        <v>1883.3096926713954</v>
      </c>
      <c r="AF175" s="463">
        <f t="shared" si="321"/>
        <v>1.2079797650130546E-2</v>
      </c>
      <c r="AH175" s="153">
        <f t="shared" si="322"/>
        <v>0.49495939473012429</v>
      </c>
      <c r="AI175" s="153">
        <f t="shared" si="323"/>
        <v>0.63672758920800687</v>
      </c>
      <c r="AJ175" s="153">
        <f t="shared" si="324"/>
        <v>1.5605389549688939</v>
      </c>
      <c r="AL175" s="317">
        <f t="shared" si="325"/>
        <v>65</v>
      </c>
      <c r="AM175" s="147">
        <f t="shared" si="326"/>
        <v>234.99430775992121</v>
      </c>
      <c r="AO175">
        <f t="shared" si="327"/>
        <v>65</v>
      </c>
      <c r="AP175">
        <f t="shared" si="328"/>
        <v>234.99430775992121</v>
      </c>
      <c r="AR175" s="5">
        <f t="shared" si="249"/>
        <v>4.2554222250423042</v>
      </c>
      <c r="AS175" s="5">
        <f t="shared" si="246"/>
        <v>2.302015130213563</v>
      </c>
      <c r="AT175" s="5">
        <f t="shared" si="247"/>
        <v>1.9534070948287412</v>
      </c>
      <c r="AU175" s="153">
        <f t="shared" si="248"/>
        <v>0.54096045197740117</v>
      </c>
      <c r="AW175" s="5">
        <f t="shared" si="275"/>
        <v>0.99753988975921071</v>
      </c>
      <c r="AX175" s="5"/>
      <c r="AY175" s="5">
        <f t="shared" si="276"/>
        <v>0.93519364664925997</v>
      </c>
      <c r="AZ175" s="5"/>
      <c r="BA175" s="5">
        <f t="shared" si="277"/>
        <v>0.21704523275874907</v>
      </c>
      <c r="BB175" s="5"/>
      <c r="BC175" s="5"/>
      <c r="BD175" s="153">
        <f t="shared" si="278"/>
        <v>0.27038076899513547</v>
      </c>
      <c r="BE175" s="153">
        <f t="shared" si="279"/>
        <v>0.24906809117952597</v>
      </c>
      <c r="BF175" s="153">
        <f t="shared" si="280"/>
        <v>0.24939367038368221</v>
      </c>
      <c r="BG175" s="153"/>
      <c r="BH175" s="463">
        <f t="shared" si="281"/>
        <v>2.5587016084840285E-2</v>
      </c>
      <c r="BI175" s="463">
        <f t="shared" si="282"/>
        <v>2.1187234042553189E-2</v>
      </c>
      <c r="BJ175" s="463">
        <f t="shared" si="283"/>
        <v>2.9374288469990149E-3</v>
      </c>
      <c r="BK175" s="463">
        <f t="shared" si="284"/>
        <v>9.4235349347975336E-3</v>
      </c>
      <c r="BL175">
        <f t="shared" si="285"/>
        <v>3.7699999999999999E-3</v>
      </c>
      <c r="BM175">
        <f t="shared" si="329"/>
        <v>4.6998861551984246E-6</v>
      </c>
      <c r="BN175">
        <f t="shared" si="330"/>
        <v>6.6678939200876516E-2</v>
      </c>
      <c r="BO175" s="147">
        <f t="shared" si="286"/>
        <v>62.905213909190032</v>
      </c>
      <c r="BP175" s="153">
        <f t="shared" si="287"/>
        <v>2.6000000000000002E-2</v>
      </c>
      <c r="BQ175" s="153">
        <f t="shared" si="288"/>
        <v>2.6000000000000002E-2</v>
      </c>
      <c r="BR175" s="463"/>
      <c r="BT175" s="147">
        <f t="shared" si="289"/>
        <v>52.000000000000007</v>
      </c>
      <c r="BU175" s="463">
        <f t="shared" si="290"/>
        <v>7.3105760242400813E-2</v>
      </c>
      <c r="BV175" s="463">
        <f t="shared" si="291"/>
        <v>6.2034914043812658E-2</v>
      </c>
      <c r="BW175" s="463">
        <f t="shared" si="292"/>
        <v>3.1098601413722367E-3</v>
      </c>
      <c r="BX175" s="463">
        <f t="shared" si="293"/>
        <v>0</v>
      </c>
      <c r="BY175" s="463">
        <f t="shared" si="274"/>
        <v>0.15657229483388305</v>
      </c>
      <c r="BZ175" s="463">
        <f t="shared" si="250"/>
        <v>0.1382505344275857</v>
      </c>
      <c r="CA175" s="549">
        <f t="shared" si="331"/>
        <v>4.7635933806146585E-2</v>
      </c>
      <c r="CB175" s="147">
        <f t="shared" si="294"/>
        <v>480.7092974952011</v>
      </c>
      <c r="CC175" s="153">
        <f t="shared" si="251"/>
        <v>0.32288716784090621</v>
      </c>
      <c r="CD175" s="5">
        <f t="shared" si="295"/>
        <v>2.0150000000000001</v>
      </c>
      <c r="CE175" s="153">
        <f t="shared" si="296"/>
        <v>0.86188932798707296</v>
      </c>
      <c r="CF175" s="5">
        <f t="shared" si="297"/>
        <v>86.188932798707299</v>
      </c>
      <c r="CG175">
        <f t="shared" si="298"/>
        <v>65</v>
      </c>
      <c r="CI175" s="59">
        <f t="shared" si="332"/>
        <v>-50</v>
      </c>
      <c r="CJ175">
        <f t="shared" si="333"/>
        <v>-50</v>
      </c>
    </row>
    <row r="176" spans="5:88" x14ac:dyDescent="0.25">
      <c r="E176" s="150">
        <v>66</v>
      </c>
      <c r="F176" s="191">
        <f t="shared" si="334"/>
        <v>6.6000000000000003E-2</v>
      </c>
      <c r="G176" s="191">
        <f t="shared" si="299"/>
        <v>6.6000000000000003E-2</v>
      </c>
      <c r="H176" s="191">
        <f t="shared" si="300"/>
        <v>0.99</v>
      </c>
      <c r="I176" s="191">
        <f t="shared" si="301"/>
        <v>1.056</v>
      </c>
      <c r="J176" s="472">
        <f t="shared" si="302"/>
        <v>13</v>
      </c>
      <c r="K176" s="386">
        <f t="shared" si="303"/>
        <v>15.32</v>
      </c>
      <c r="L176" s="386">
        <f t="shared" si="304"/>
        <v>28.32</v>
      </c>
      <c r="M176" s="386"/>
      <c r="N176" s="191">
        <f t="shared" si="305"/>
        <v>0.54096045197740117</v>
      </c>
      <c r="O176" s="152">
        <f t="shared" si="306"/>
        <v>1.1484503143794424</v>
      </c>
      <c r="P176" s="152">
        <f t="shared" si="307"/>
        <v>2.5316949152542376</v>
      </c>
      <c r="Q176" s="191">
        <f t="shared" si="308"/>
        <v>7.6563354291962829E-2</v>
      </c>
      <c r="R176" s="191">
        <f t="shared" si="309"/>
        <v>7.1778144648715153E-2</v>
      </c>
      <c r="S176" s="191">
        <f t="shared" si="310"/>
        <v>15</v>
      </c>
      <c r="T176" s="191">
        <f t="shared" si="311"/>
        <v>0.64652339827274552</v>
      </c>
      <c r="U176" s="191">
        <f t="shared" si="312"/>
        <v>2.3374307476014646</v>
      </c>
      <c r="V176" s="191">
        <f t="shared" si="313"/>
        <v>1.9834595116722611</v>
      </c>
      <c r="W176" s="175">
        <f t="shared" si="314"/>
        <v>350</v>
      </c>
      <c r="X176" s="386">
        <f t="shared" si="315"/>
        <v>231.43378794537688</v>
      </c>
      <c r="Z176" s="191">
        <f t="shared" si="316"/>
        <v>0.42750674016451157</v>
      </c>
      <c r="AA176" s="153">
        <f t="shared" si="317"/>
        <v>1.3115415657788541</v>
      </c>
      <c r="AB176" s="153">
        <f t="shared" si="318"/>
        <v>4.7478024382677106E-2</v>
      </c>
      <c r="AC176" s="153"/>
      <c r="AD176" s="153">
        <f t="shared" si="319"/>
        <v>0.46018276762402083</v>
      </c>
      <c r="AE176" s="317">
        <f t="shared" si="320"/>
        <v>1912.2836879432627</v>
      </c>
      <c r="AF176" s="463">
        <f t="shared" si="321"/>
        <v>1.2079797650130546E-2</v>
      </c>
      <c r="AH176" s="153">
        <f t="shared" si="322"/>
        <v>0.4987522424933018</v>
      </c>
      <c r="AI176" s="153">
        <f t="shared" si="323"/>
        <v>0.64652339827274552</v>
      </c>
      <c r="AJ176" s="153">
        <f t="shared" si="324"/>
        <v>1.5677951098316634</v>
      </c>
      <c r="AL176" s="317">
        <f t="shared" si="325"/>
        <v>66</v>
      </c>
      <c r="AM176" s="147">
        <f t="shared" si="326"/>
        <v>231.43378794537688</v>
      </c>
      <c r="AO176">
        <f t="shared" si="327"/>
        <v>66</v>
      </c>
      <c r="AP176">
        <f t="shared" si="328"/>
        <v>231.43378794537688</v>
      </c>
      <c r="AR176" s="5">
        <f t="shared" si="249"/>
        <v>4.3208902592737255</v>
      </c>
      <c r="AS176" s="5">
        <f t="shared" si="246"/>
        <v>2.3374307476014646</v>
      </c>
      <c r="AT176" s="5">
        <f t="shared" si="247"/>
        <v>1.9834595116722609</v>
      </c>
      <c r="AU176" s="153">
        <f t="shared" si="248"/>
        <v>0.54096045197740117</v>
      </c>
      <c r="AW176" s="5">
        <f t="shared" si="275"/>
        <v>1.0284695289446446</v>
      </c>
      <c r="AX176" s="5"/>
      <c r="AY176" s="5">
        <f t="shared" si="276"/>
        <v>0.96419018338560436</v>
      </c>
      <c r="AZ176" s="5"/>
      <c r="BA176" s="5">
        <f t="shared" si="277"/>
        <v>0.22377491926558837</v>
      </c>
      <c r="BB176" s="5"/>
      <c r="BC176" s="5"/>
      <c r="BD176" s="153">
        <f t="shared" si="278"/>
        <v>0.2745404731335222</v>
      </c>
      <c r="BE176" s="153">
        <f t="shared" si="279"/>
        <v>0.25289990796690331</v>
      </c>
      <c r="BF176" s="153">
        <f t="shared" si="280"/>
        <v>0.25323049608189274</v>
      </c>
      <c r="BG176" s="153"/>
      <c r="BH176" s="463">
        <f t="shared" si="281"/>
        <v>2.6380364985932377E-2</v>
      </c>
      <c r="BI176" s="463">
        <f t="shared" si="282"/>
        <v>2.1187234042553189E-2</v>
      </c>
      <c r="BJ176" s="463">
        <f t="shared" si="283"/>
        <v>2.8929223493172106E-3</v>
      </c>
      <c r="BK176" s="463">
        <f t="shared" si="284"/>
        <v>9.2807541024521115E-3</v>
      </c>
      <c r="BL176">
        <f t="shared" si="285"/>
        <v>3.7699999999999999E-3</v>
      </c>
      <c r="BM176">
        <f t="shared" si="329"/>
        <v>4.628675758907538E-6</v>
      </c>
      <c r="BN176">
        <f t="shared" si="330"/>
        <v>6.7405327109812396E-2</v>
      </c>
      <c r="BO176" s="147">
        <f t="shared" si="286"/>
        <v>63.511275480254881</v>
      </c>
      <c r="BP176" s="153">
        <f t="shared" si="287"/>
        <v>2.6400000000000003E-2</v>
      </c>
      <c r="BQ176" s="153">
        <f t="shared" si="288"/>
        <v>2.6400000000000003E-2</v>
      </c>
      <c r="BR176" s="463"/>
      <c r="BT176" s="147">
        <f t="shared" si="289"/>
        <v>52.800000000000004</v>
      </c>
      <c r="BU176" s="463">
        <f t="shared" si="290"/>
        <v>7.5372471388378229E-2</v>
      </c>
      <c r="BV176" s="463">
        <f t="shared" si="291"/>
        <v>6.3958363449668168E-2</v>
      </c>
      <c r="BW176" s="463">
        <f t="shared" si="292"/>
        <v>3.2062842072940745E-3</v>
      </c>
      <c r="BX176" s="463">
        <f t="shared" si="293"/>
        <v>0</v>
      </c>
      <c r="BY176" s="463">
        <f t="shared" si="274"/>
        <v>0.1614829585861241</v>
      </c>
      <c r="BZ176" s="463">
        <f t="shared" si="250"/>
        <v>0.14253711904534047</v>
      </c>
      <c r="CA176" s="549">
        <f t="shared" si="331"/>
        <v>4.8368794326241138E-2</v>
      </c>
      <c r="CB176" s="147">
        <f t="shared" si="294"/>
        <v>494.92599100304619</v>
      </c>
      <c r="CC176" s="153">
        <f t="shared" si="251"/>
        <v>0.33005708002217765</v>
      </c>
      <c r="CD176" s="5">
        <f t="shared" si="295"/>
        <v>2.0460000000000003</v>
      </c>
      <c r="CE176" s="153">
        <f t="shared" si="296"/>
        <v>0.86109042463782182</v>
      </c>
      <c r="CF176" s="5">
        <f t="shared" si="297"/>
        <v>86.109042463782188</v>
      </c>
      <c r="CG176">
        <f t="shared" si="298"/>
        <v>66</v>
      </c>
      <c r="CI176" s="59">
        <f t="shared" si="332"/>
        <v>-50</v>
      </c>
      <c r="CJ176">
        <f t="shared" si="333"/>
        <v>-50</v>
      </c>
    </row>
    <row r="177" spans="5:88" x14ac:dyDescent="0.25">
      <c r="E177" s="150">
        <v>67</v>
      </c>
      <c r="F177" s="191">
        <f t="shared" si="334"/>
        <v>6.7000000000000004E-2</v>
      </c>
      <c r="G177" s="191">
        <f t="shared" si="299"/>
        <v>6.7000000000000004E-2</v>
      </c>
      <c r="H177" s="191">
        <f t="shared" si="300"/>
        <v>1.0050000000000001</v>
      </c>
      <c r="I177" s="191">
        <f t="shared" si="301"/>
        <v>1.0720000000000001</v>
      </c>
      <c r="J177" s="472">
        <f t="shared" si="302"/>
        <v>13</v>
      </c>
      <c r="K177" s="386">
        <f t="shared" si="303"/>
        <v>15.32</v>
      </c>
      <c r="L177" s="386">
        <f t="shared" si="304"/>
        <v>28.32</v>
      </c>
      <c r="M177" s="386"/>
      <c r="N177" s="191">
        <f t="shared" si="305"/>
        <v>0.54096045197740117</v>
      </c>
      <c r="O177" s="152">
        <f t="shared" si="306"/>
        <v>1.1484503143794424</v>
      </c>
      <c r="P177" s="152">
        <f t="shared" si="307"/>
        <v>2.5316949152542376</v>
      </c>
      <c r="Q177" s="191">
        <f t="shared" si="308"/>
        <v>7.6563354291962829E-2</v>
      </c>
      <c r="R177" s="191">
        <f t="shared" si="309"/>
        <v>7.1778144648715153E-2</v>
      </c>
      <c r="S177" s="191">
        <f t="shared" si="310"/>
        <v>15</v>
      </c>
      <c r="T177" s="191">
        <f t="shared" si="311"/>
        <v>0.65631920733748395</v>
      </c>
      <c r="U177" s="191">
        <f t="shared" si="312"/>
        <v>2.372846364989365</v>
      </c>
      <c r="V177" s="191">
        <f t="shared" si="313"/>
        <v>2.0135119285157796</v>
      </c>
      <c r="W177" s="175">
        <f t="shared" si="314"/>
        <v>350</v>
      </c>
      <c r="X177" s="386">
        <f t="shared" si="315"/>
        <v>227.97955230440115</v>
      </c>
      <c r="Z177" s="191">
        <f t="shared" si="316"/>
        <v>0.42750674016451157</v>
      </c>
      <c r="AA177" s="153">
        <f t="shared" si="317"/>
        <v>1.3115415657788541</v>
      </c>
      <c r="AB177" s="153">
        <f t="shared" si="318"/>
        <v>4.7478024382677106E-2</v>
      </c>
      <c r="AC177" s="153"/>
      <c r="AD177" s="153">
        <f t="shared" si="319"/>
        <v>0.46018276762402083</v>
      </c>
      <c r="AE177" s="317">
        <f t="shared" si="320"/>
        <v>1941.2576832151306</v>
      </c>
      <c r="AF177" s="463">
        <f t="shared" si="321"/>
        <v>1.2079797650130546E-2</v>
      </c>
      <c r="AH177" s="153">
        <f t="shared" si="322"/>
        <v>0.50251646376271453</v>
      </c>
      <c r="AI177" s="153">
        <f t="shared" si="323"/>
        <v>0.65631920733748395</v>
      </c>
      <c r="AJ177" s="153">
        <f t="shared" si="324"/>
        <v>1.5750512646944326</v>
      </c>
      <c r="AL177" s="317">
        <f t="shared" si="325"/>
        <v>67</v>
      </c>
      <c r="AM177" s="147">
        <f t="shared" si="326"/>
        <v>227.97955230440115</v>
      </c>
      <c r="AO177">
        <f t="shared" si="327"/>
        <v>67</v>
      </c>
      <c r="AP177">
        <f t="shared" si="328"/>
        <v>227.97955230440115</v>
      </c>
      <c r="AR177" s="5">
        <f t="shared" si="249"/>
        <v>4.3863582935051451</v>
      </c>
      <c r="AS177" s="5">
        <f t="shared" si="246"/>
        <v>2.372846364989365</v>
      </c>
      <c r="AT177" s="5">
        <f t="shared" si="247"/>
        <v>2.0135119285157801</v>
      </c>
      <c r="AU177" s="153">
        <f t="shared" si="248"/>
        <v>0.54096045197740106</v>
      </c>
      <c r="AW177" s="5">
        <f t="shared" si="275"/>
        <v>1.0598713763619165</v>
      </c>
      <c r="AX177" s="5"/>
      <c r="AY177" s="5">
        <f t="shared" si="276"/>
        <v>0.99362941533929661</v>
      </c>
      <c r="AZ177" s="5"/>
      <c r="BA177" s="5">
        <f t="shared" si="277"/>
        <v>0.2306073490778757</v>
      </c>
      <c r="BB177" s="5"/>
      <c r="BC177" s="5"/>
      <c r="BD177" s="153">
        <f t="shared" si="278"/>
        <v>0.27870017727190877</v>
      </c>
      <c r="BE177" s="153">
        <f t="shared" si="279"/>
        <v>0.25673172475428063</v>
      </c>
      <c r="BF177" s="153">
        <f t="shared" si="280"/>
        <v>0.25706732178010322</v>
      </c>
      <c r="BG177" s="153"/>
      <c r="BH177" s="463">
        <f t="shared" si="281"/>
        <v>2.7185826083987681E-2</v>
      </c>
      <c r="BI177" s="463">
        <f t="shared" si="282"/>
        <v>2.1187234042553189E-2</v>
      </c>
      <c r="BJ177" s="463">
        <f t="shared" si="283"/>
        <v>2.8497444038050146E-3</v>
      </c>
      <c r="BK177" s="463">
        <f t="shared" si="284"/>
        <v>9.1422353845050687E-3</v>
      </c>
      <c r="BL177">
        <f t="shared" si="285"/>
        <v>3.7699999999999999E-3</v>
      </c>
      <c r="BM177">
        <f t="shared" si="329"/>
        <v>4.5595910460880231E-6</v>
      </c>
      <c r="BN177">
        <f t="shared" si="330"/>
        <v>6.8151519389955187E-2</v>
      </c>
      <c r="BO177" s="147">
        <f t="shared" si="286"/>
        <v>64.13503991485095</v>
      </c>
      <c r="BP177" s="153">
        <f t="shared" si="287"/>
        <v>2.6800000000000004E-2</v>
      </c>
      <c r="BQ177" s="153">
        <f t="shared" si="288"/>
        <v>2.6800000000000004E-2</v>
      </c>
      <c r="BR177" s="463"/>
      <c r="BT177" s="147">
        <f t="shared" si="289"/>
        <v>53.600000000000009</v>
      </c>
      <c r="BU177" s="463">
        <f t="shared" si="290"/>
        <v>7.7673788811393377E-2</v>
      </c>
      <c r="BV177" s="463">
        <f t="shared" si="291"/>
        <v>6.5911178495307712E-2</v>
      </c>
      <c r="BW177" s="463">
        <f t="shared" si="292"/>
        <v>3.3041803963597565E-3</v>
      </c>
      <c r="BX177" s="463">
        <f t="shared" si="293"/>
        <v>0</v>
      </c>
      <c r="BY177" s="463">
        <f t="shared" si="274"/>
        <v>0.16647208079254594</v>
      </c>
      <c r="BZ177" s="463">
        <f t="shared" si="250"/>
        <v>0.14688914770306086</v>
      </c>
      <c r="CA177" s="549">
        <f t="shared" si="331"/>
        <v>4.9101654846335691E-2</v>
      </c>
      <c r="CB177" s="147">
        <f t="shared" si="294"/>
        <v>509.35203104500329</v>
      </c>
      <c r="CC177" s="153">
        <f t="shared" si="251"/>
        <v>0.33732525502883681</v>
      </c>
      <c r="CD177" s="5">
        <f t="shared" si="295"/>
        <v>2.077</v>
      </c>
      <c r="CE177" s="153">
        <f t="shared" si="296"/>
        <v>0.86028176844598014</v>
      </c>
      <c r="CF177" s="5">
        <f t="shared" si="297"/>
        <v>86.028176844598008</v>
      </c>
      <c r="CG177">
        <f t="shared" si="298"/>
        <v>67</v>
      </c>
      <c r="CI177" s="59">
        <f t="shared" si="332"/>
        <v>-50</v>
      </c>
      <c r="CJ177">
        <f t="shared" si="333"/>
        <v>-50</v>
      </c>
    </row>
    <row r="178" spans="5:88" x14ac:dyDescent="0.25">
      <c r="E178" s="150">
        <v>68</v>
      </c>
      <c r="F178" s="191">
        <f t="shared" si="334"/>
        <v>6.8000000000000005E-2</v>
      </c>
      <c r="G178" s="191">
        <f t="shared" si="299"/>
        <v>6.8000000000000005E-2</v>
      </c>
      <c r="H178" s="191">
        <f t="shared" si="300"/>
        <v>1.02</v>
      </c>
      <c r="I178" s="191">
        <f t="shared" si="301"/>
        <v>1.0880000000000001</v>
      </c>
      <c r="J178" s="472">
        <f t="shared" si="302"/>
        <v>13</v>
      </c>
      <c r="K178" s="386">
        <f t="shared" si="303"/>
        <v>15.32</v>
      </c>
      <c r="L178" s="386">
        <f t="shared" si="304"/>
        <v>28.32</v>
      </c>
      <c r="M178" s="386"/>
      <c r="N178" s="191">
        <f t="shared" si="305"/>
        <v>0.54096045197740117</v>
      </c>
      <c r="O178" s="152">
        <f t="shared" si="306"/>
        <v>1.1484503143794424</v>
      </c>
      <c r="P178" s="152">
        <f t="shared" si="307"/>
        <v>2.5316949152542376</v>
      </c>
      <c r="Q178" s="191">
        <f t="shared" si="308"/>
        <v>7.6563354291962829E-2</v>
      </c>
      <c r="R178" s="191">
        <f t="shared" si="309"/>
        <v>7.1778144648715153E-2</v>
      </c>
      <c r="S178" s="191">
        <f t="shared" si="310"/>
        <v>15</v>
      </c>
      <c r="T178" s="191">
        <f t="shared" si="311"/>
        <v>0.66611501640222259</v>
      </c>
      <c r="U178" s="191">
        <f t="shared" si="312"/>
        <v>2.4082619823772666</v>
      </c>
      <c r="V178" s="191">
        <f t="shared" si="313"/>
        <v>2.0435643453592989</v>
      </c>
      <c r="W178" s="175">
        <f t="shared" si="314"/>
        <v>350</v>
      </c>
      <c r="X178" s="386">
        <f t="shared" si="315"/>
        <v>224.62691182933642</v>
      </c>
      <c r="Z178" s="191">
        <f t="shared" si="316"/>
        <v>0.42750674016451157</v>
      </c>
      <c r="AA178" s="153">
        <f t="shared" si="317"/>
        <v>1.3115415657788541</v>
      </c>
      <c r="AB178" s="153">
        <f t="shared" si="318"/>
        <v>4.7478024382677106E-2</v>
      </c>
      <c r="AC178" s="153"/>
      <c r="AD178" s="153">
        <f t="shared" si="319"/>
        <v>0.46018276762402083</v>
      </c>
      <c r="AE178" s="317">
        <f t="shared" si="320"/>
        <v>1970.2316784869981</v>
      </c>
      <c r="AF178" s="463">
        <f t="shared" si="321"/>
        <v>1.2079797650130546E-2</v>
      </c>
      <c r="AH178" s="153">
        <f t="shared" si="322"/>
        <v>0.50625269709214382</v>
      </c>
      <c r="AI178" s="153">
        <f t="shared" si="323"/>
        <v>0.66611501640222259</v>
      </c>
      <c r="AJ178" s="153">
        <f t="shared" si="324"/>
        <v>1.5823074195572018</v>
      </c>
      <c r="AL178" s="317">
        <f t="shared" si="325"/>
        <v>68</v>
      </c>
      <c r="AM178" s="147">
        <f t="shared" si="326"/>
        <v>224.62691182933642</v>
      </c>
      <c r="AO178">
        <f t="shared" si="327"/>
        <v>68</v>
      </c>
      <c r="AP178">
        <f t="shared" si="328"/>
        <v>224.62691182933642</v>
      </c>
      <c r="AR178" s="5">
        <f t="shared" si="249"/>
        <v>4.4518263277365655</v>
      </c>
      <c r="AS178" s="5">
        <f t="shared" si="246"/>
        <v>2.4082619823772666</v>
      </c>
      <c r="AT178" s="5">
        <f t="shared" si="247"/>
        <v>2.0435643453592989</v>
      </c>
      <c r="AU178" s="153">
        <f t="shared" si="248"/>
        <v>0.54096045197740117</v>
      </c>
      <c r="AW178" s="5">
        <f t="shared" si="275"/>
        <v>1.0917454320110276</v>
      </c>
      <c r="AX178" s="5"/>
      <c r="AY178" s="5">
        <f t="shared" si="276"/>
        <v>1.0235113425103384</v>
      </c>
      <c r="AZ178" s="5"/>
      <c r="BA178" s="5">
        <f t="shared" si="277"/>
        <v>0.23754252219561078</v>
      </c>
      <c r="BB178" s="5"/>
      <c r="BC178" s="5"/>
      <c r="BD178" s="153">
        <f t="shared" si="278"/>
        <v>0.28285988141029555</v>
      </c>
      <c r="BE178" s="153">
        <f t="shared" si="279"/>
        <v>0.26056354154165795</v>
      </c>
      <c r="BF178" s="153">
        <f t="shared" si="280"/>
        <v>0.2609041474783137</v>
      </c>
      <c r="BG178" s="153"/>
      <c r="BH178" s="463">
        <f t="shared" si="281"/>
        <v>2.8003399379006262E-2</v>
      </c>
      <c r="BI178" s="463">
        <f t="shared" si="282"/>
        <v>2.1187234042553193E-2</v>
      </c>
      <c r="BJ178" s="463">
        <f t="shared" si="283"/>
        <v>2.807836397866705E-3</v>
      </c>
      <c r="BK178" s="463">
        <f t="shared" si="284"/>
        <v>9.0077907464976396E-3</v>
      </c>
      <c r="BL178">
        <f t="shared" si="285"/>
        <v>3.7699999999999999E-3</v>
      </c>
      <c r="BM178">
        <f t="shared" si="329"/>
        <v>4.4925382365867287E-6</v>
      </c>
      <c r="BN178">
        <f t="shared" si="330"/>
        <v>6.8917281922653534E-2</v>
      </c>
      <c r="BO178" s="147">
        <f t="shared" si="286"/>
        <v>64.776260565923792</v>
      </c>
      <c r="BP178" s="153">
        <f t="shared" si="287"/>
        <v>2.7200000000000002E-2</v>
      </c>
      <c r="BQ178" s="153">
        <f t="shared" si="288"/>
        <v>2.7200000000000002E-2</v>
      </c>
      <c r="BR178" s="463"/>
      <c r="BT178" s="147">
        <f t="shared" si="289"/>
        <v>54.400000000000006</v>
      </c>
      <c r="BU178" s="463">
        <f t="shared" si="290"/>
        <v>8.0009712511446465E-2</v>
      </c>
      <c r="BV178" s="463">
        <f t="shared" si="291"/>
        <v>6.7893359180731305E-2</v>
      </c>
      <c r="BW178" s="463">
        <f t="shared" si="292"/>
        <v>3.4035487085692833E-3</v>
      </c>
      <c r="BX178" s="463">
        <f t="shared" si="293"/>
        <v>0</v>
      </c>
      <c r="BY178" s="463">
        <f t="shared" si="274"/>
        <v>0.17153982372823343</v>
      </c>
      <c r="BZ178" s="463">
        <f t="shared" si="250"/>
        <v>0.15130662040074705</v>
      </c>
      <c r="CA178" s="549">
        <f t="shared" si="331"/>
        <v>4.9834515366430264E-2</v>
      </c>
      <c r="CB178" s="147">
        <f t="shared" si="294"/>
        <v>523.98757989615774</v>
      </c>
      <c r="CC178" s="153">
        <f t="shared" si="251"/>
        <v>0.34469162101731721</v>
      </c>
      <c r="CD178" s="5">
        <f t="shared" si="295"/>
        <v>2.1080000000000001</v>
      </c>
      <c r="CE178" s="153">
        <f t="shared" si="296"/>
        <v>0.85946393828574852</v>
      </c>
      <c r="CF178" s="5">
        <f t="shared" si="297"/>
        <v>85.946393828574855</v>
      </c>
      <c r="CG178">
        <f t="shared" si="298"/>
        <v>68</v>
      </c>
      <c r="CI178" s="59">
        <f t="shared" si="332"/>
        <v>-50</v>
      </c>
      <c r="CJ178">
        <f t="shared" si="333"/>
        <v>-50</v>
      </c>
    </row>
    <row r="179" spans="5:88" x14ac:dyDescent="0.25">
      <c r="E179" s="150">
        <v>69</v>
      </c>
      <c r="F179" s="191">
        <f t="shared" si="334"/>
        <v>6.8999999999999992E-2</v>
      </c>
      <c r="G179" s="191">
        <f t="shared" si="299"/>
        <v>6.8999999999999992E-2</v>
      </c>
      <c r="H179" s="191">
        <f t="shared" si="300"/>
        <v>1.0349999999999999</v>
      </c>
      <c r="I179" s="191">
        <f t="shared" si="301"/>
        <v>1.1039999999999999</v>
      </c>
      <c r="J179" s="472">
        <f t="shared" si="302"/>
        <v>13</v>
      </c>
      <c r="K179" s="386">
        <f t="shared" si="303"/>
        <v>15.32</v>
      </c>
      <c r="L179" s="386">
        <f t="shared" si="304"/>
        <v>28.32</v>
      </c>
      <c r="M179" s="386"/>
      <c r="N179" s="191">
        <f t="shared" si="305"/>
        <v>0.54096045197740117</v>
      </c>
      <c r="O179" s="152">
        <f t="shared" si="306"/>
        <v>1.1484503143794424</v>
      </c>
      <c r="P179" s="152">
        <f t="shared" si="307"/>
        <v>2.5316949152542376</v>
      </c>
      <c r="Q179" s="191">
        <f t="shared" si="308"/>
        <v>7.6563354291962829E-2</v>
      </c>
      <c r="R179" s="191">
        <f t="shared" si="309"/>
        <v>7.1778144648715153E-2</v>
      </c>
      <c r="S179" s="191">
        <f t="shared" si="310"/>
        <v>15</v>
      </c>
      <c r="T179" s="191">
        <f t="shared" si="311"/>
        <v>0.67591082546696102</v>
      </c>
      <c r="U179" s="191">
        <f t="shared" si="312"/>
        <v>2.4436775997651665</v>
      </c>
      <c r="V179" s="191">
        <f t="shared" si="313"/>
        <v>2.0736167622028172</v>
      </c>
      <c r="W179" s="175">
        <f t="shared" si="314"/>
        <v>350</v>
      </c>
      <c r="X179" s="386">
        <f t="shared" si="315"/>
        <v>221.37144933905626</v>
      </c>
      <c r="Z179" s="191">
        <f t="shared" si="316"/>
        <v>0.42750674016451157</v>
      </c>
      <c r="AA179" s="153">
        <f t="shared" si="317"/>
        <v>1.3115415657788541</v>
      </c>
      <c r="AB179" s="153">
        <f t="shared" si="318"/>
        <v>4.7478024382677106E-2</v>
      </c>
      <c r="AC179" s="153"/>
      <c r="AD179" s="153">
        <f t="shared" si="319"/>
        <v>0.46018276762402083</v>
      </c>
      <c r="AE179" s="317">
        <f t="shared" si="320"/>
        <v>1999.2056737588655</v>
      </c>
      <c r="AF179" s="463">
        <f t="shared" si="321"/>
        <v>1.2079797650130546E-2</v>
      </c>
      <c r="AH179" s="153">
        <f t="shared" si="322"/>
        <v>0.50996155764288376</v>
      </c>
      <c r="AI179" s="153">
        <f t="shared" si="323"/>
        <v>0.67591082546696102</v>
      </c>
      <c r="AJ179" s="153">
        <f t="shared" si="324"/>
        <v>1.589563574419971</v>
      </c>
      <c r="AL179" s="317">
        <f t="shared" si="325"/>
        <v>68.999999999999986</v>
      </c>
      <c r="AM179" s="147">
        <f t="shared" si="326"/>
        <v>221.37144933905626</v>
      </c>
      <c r="AO179">
        <f t="shared" si="327"/>
        <v>68.999999999999986</v>
      </c>
      <c r="AP179">
        <f t="shared" si="328"/>
        <v>221.37144933905626</v>
      </c>
      <c r="AR179" s="5">
        <f t="shared" si="249"/>
        <v>4.5172943619679842</v>
      </c>
      <c r="AS179" s="5">
        <f t="shared" ref="AS179:AS242" si="335">L*AI179/J179*1000000</f>
        <v>2.4436775997651665</v>
      </c>
      <c r="AT179" s="5">
        <f t="shared" ref="AT179:AT242" si="336">AR179-AS179</f>
        <v>2.0736167622028177</v>
      </c>
      <c r="AU179" s="153">
        <f t="shared" ref="AU179:AU242" si="337">AS179/AR179</f>
        <v>0.54096045197740117</v>
      </c>
      <c r="AW179" s="5">
        <f t="shared" si="275"/>
        <v>1.1240916958919764</v>
      </c>
      <c r="AX179" s="5"/>
      <c r="AY179" s="5">
        <f t="shared" si="276"/>
        <v>1.0538359648987279</v>
      </c>
      <c r="AZ179" s="5"/>
      <c r="BA179" s="5">
        <f t="shared" si="277"/>
        <v>0.24458043861879386</v>
      </c>
      <c r="BB179" s="5"/>
      <c r="BC179" s="5"/>
      <c r="BD179" s="153">
        <f t="shared" si="278"/>
        <v>0.28701958554868218</v>
      </c>
      <c r="BE179" s="153">
        <f t="shared" si="279"/>
        <v>0.26439535832903521</v>
      </c>
      <c r="BF179" s="153">
        <f t="shared" si="280"/>
        <v>0.26474097317652417</v>
      </c>
      <c r="BG179" s="153"/>
      <c r="BH179" s="463">
        <f t="shared" si="281"/>
        <v>2.8833084870988047E-2</v>
      </c>
      <c r="BI179" s="463">
        <f t="shared" si="282"/>
        <v>2.1187234042553189E-2</v>
      </c>
      <c r="BJ179" s="463">
        <f t="shared" si="283"/>
        <v>2.767143116738203E-3</v>
      </c>
      <c r="BK179" s="463">
        <f t="shared" si="284"/>
        <v>8.8772430545194167E-3</v>
      </c>
      <c r="BL179">
        <f t="shared" si="285"/>
        <v>3.7699999999999999E-3</v>
      </c>
      <c r="BM179">
        <f t="shared" si="329"/>
        <v>4.4274289867811254E-6</v>
      </c>
      <c r="BN179">
        <f t="shared" si="330"/>
        <v>6.97023950924133E-2</v>
      </c>
      <c r="BO179" s="147">
        <f t="shared" si="286"/>
        <v>65.434705084798864</v>
      </c>
      <c r="BP179" s="153">
        <f t="shared" si="287"/>
        <v>2.76E-2</v>
      </c>
      <c r="BQ179" s="153">
        <f t="shared" si="288"/>
        <v>2.76E-2</v>
      </c>
      <c r="BR179" s="463"/>
      <c r="BT179" s="147">
        <f t="shared" si="289"/>
        <v>55.199999999999996</v>
      </c>
      <c r="BU179" s="463">
        <f t="shared" si="290"/>
        <v>8.2380242488537286E-2</v>
      </c>
      <c r="BV179" s="463">
        <f t="shared" si="291"/>
        <v>6.9904905505938933E-2</v>
      </c>
      <c r="BW179" s="463">
        <f t="shared" si="292"/>
        <v>3.5043891439226547E-3</v>
      </c>
      <c r="BX179" s="463">
        <f t="shared" si="293"/>
        <v>0</v>
      </c>
      <c r="BY179" s="463">
        <f t="shared" si="274"/>
        <v>0.17668635239972882</v>
      </c>
      <c r="BZ179" s="463">
        <f t="shared" si="250"/>
        <v>0.15578953713839888</v>
      </c>
      <c r="CA179" s="549">
        <f t="shared" si="331"/>
        <v>5.0567375886524817E-2</v>
      </c>
      <c r="CB179" s="147">
        <f t="shared" si="294"/>
        <v>538.83280256305136</v>
      </c>
      <c r="CC179" s="153">
        <f t="shared" si="251"/>
        <v>0.35215612337866697</v>
      </c>
      <c r="CD179" s="5">
        <f t="shared" si="295"/>
        <v>2.1389999999999998</v>
      </c>
      <c r="CE179" s="153">
        <f t="shared" si="296"/>
        <v>0.85863747355141684</v>
      </c>
      <c r="CF179" s="5">
        <f t="shared" si="297"/>
        <v>85.863747355141683</v>
      </c>
      <c r="CG179">
        <f t="shared" si="298"/>
        <v>68.999999999999986</v>
      </c>
      <c r="CI179" s="59">
        <f t="shared" si="332"/>
        <v>-50</v>
      </c>
      <c r="CJ179">
        <f t="shared" si="333"/>
        <v>-50</v>
      </c>
    </row>
    <row r="180" spans="5:88" x14ac:dyDescent="0.25">
      <c r="E180" s="150">
        <v>70</v>
      </c>
      <c r="F180" s="191">
        <f t="shared" si="334"/>
        <v>6.9999999999999993E-2</v>
      </c>
      <c r="G180" s="191">
        <f t="shared" si="299"/>
        <v>6.9999999999999993E-2</v>
      </c>
      <c r="H180" s="191">
        <f t="shared" si="300"/>
        <v>1.0499999999999998</v>
      </c>
      <c r="I180" s="191">
        <f t="shared" si="301"/>
        <v>1.1199999999999999</v>
      </c>
      <c r="J180" s="472">
        <f t="shared" si="302"/>
        <v>13</v>
      </c>
      <c r="K180" s="386">
        <f t="shared" si="303"/>
        <v>15.32</v>
      </c>
      <c r="L180" s="386">
        <f t="shared" si="304"/>
        <v>28.32</v>
      </c>
      <c r="M180" s="386"/>
      <c r="N180" s="191">
        <f t="shared" si="305"/>
        <v>0.54096045197740117</v>
      </c>
      <c r="O180" s="152">
        <f t="shared" si="306"/>
        <v>1.1484503143794424</v>
      </c>
      <c r="P180" s="152">
        <f t="shared" si="307"/>
        <v>2.5316949152542376</v>
      </c>
      <c r="Q180" s="191">
        <f t="shared" si="308"/>
        <v>7.6563354291962829E-2</v>
      </c>
      <c r="R180" s="191">
        <f t="shared" si="309"/>
        <v>7.1778144648715153E-2</v>
      </c>
      <c r="S180" s="191">
        <f t="shared" si="310"/>
        <v>15</v>
      </c>
      <c r="T180" s="191">
        <f t="shared" si="311"/>
        <v>0.68570663453169967</v>
      </c>
      <c r="U180" s="191">
        <f t="shared" si="312"/>
        <v>2.4790932171530682</v>
      </c>
      <c r="V180" s="191">
        <f t="shared" si="313"/>
        <v>2.1036691790463369</v>
      </c>
      <c r="W180" s="175">
        <f t="shared" si="314"/>
        <v>350</v>
      </c>
      <c r="X180" s="386">
        <f t="shared" si="315"/>
        <v>218.20900006278399</v>
      </c>
      <c r="Z180" s="191">
        <f t="shared" si="316"/>
        <v>0.42750674016451157</v>
      </c>
      <c r="AA180" s="153">
        <f t="shared" si="317"/>
        <v>1.3115415657788541</v>
      </c>
      <c r="AB180" s="153">
        <f t="shared" si="318"/>
        <v>4.7478024382677106E-2</v>
      </c>
      <c r="AC180" s="153"/>
      <c r="AD180" s="153">
        <f t="shared" si="319"/>
        <v>0.46018276762402083</v>
      </c>
      <c r="AE180" s="317">
        <f t="shared" si="320"/>
        <v>2028.1796690307331</v>
      </c>
      <c r="AF180" s="463">
        <f t="shared" si="321"/>
        <v>1.2079797650130546E-2</v>
      </c>
      <c r="AH180" s="153">
        <f t="shared" si="322"/>
        <v>0.51364363836617555</v>
      </c>
      <c r="AI180" s="153">
        <f t="shared" si="323"/>
        <v>0.68570663453169967</v>
      </c>
      <c r="AJ180" s="153">
        <f t="shared" si="324"/>
        <v>1.5968197292827404</v>
      </c>
      <c r="AL180" s="317">
        <f t="shared" si="325"/>
        <v>69.999999999999986</v>
      </c>
      <c r="AM180" s="147">
        <f t="shared" si="326"/>
        <v>218.20900006278399</v>
      </c>
      <c r="AO180">
        <f t="shared" si="327"/>
        <v>69.999999999999986</v>
      </c>
      <c r="AP180">
        <f t="shared" si="328"/>
        <v>218.20900006278399</v>
      </c>
      <c r="AR180" s="5">
        <f t="shared" si="249"/>
        <v>4.5827623961994046</v>
      </c>
      <c r="AS180" s="5">
        <f t="shared" si="335"/>
        <v>2.4790932171530682</v>
      </c>
      <c r="AT180" s="5">
        <f t="shared" si="336"/>
        <v>2.1036691790463364</v>
      </c>
      <c r="AU180" s="153">
        <f t="shared" si="337"/>
        <v>0.54096045197740117</v>
      </c>
      <c r="AW180" s="5">
        <f t="shared" si="275"/>
        <v>1.1569101680047649</v>
      </c>
      <c r="AX180" s="5"/>
      <c r="AY180" s="5">
        <f t="shared" si="276"/>
        <v>1.0846032825044674</v>
      </c>
      <c r="AZ180" s="5"/>
      <c r="BA180" s="5">
        <f t="shared" si="277"/>
        <v>0.25172109834742484</v>
      </c>
      <c r="BB180" s="5"/>
      <c r="BC180" s="5"/>
      <c r="BD180" s="153">
        <f t="shared" si="278"/>
        <v>0.29117928968706891</v>
      </c>
      <c r="BE180" s="153">
        <f t="shared" si="279"/>
        <v>0.26822717511641259</v>
      </c>
      <c r="BF180" s="153">
        <f t="shared" si="280"/>
        <v>0.26857779887473465</v>
      </c>
      <c r="BG180" s="153"/>
      <c r="BH180" s="463">
        <f t="shared" si="281"/>
        <v>2.9674882559933096E-2</v>
      </c>
      <c r="BI180" s="463">
        <f t="shared" si="282"/>
        <v>2.1187234042553193E-2</v>
      </c>
      <c r="BJ180" s="463">
        <f t="shared" si="283"/>
        <v>2.7276125007847998E-3</v>
      </c>
      <c r="BK180" s="463">
        <f t="shared" si="284"/>
        <v>8.7504252965977091E-3</v>
      </c>
      <c r="BL180">
        <f t="shared" si="285"/>
        <v>3.7699999999999999E-3</v>
      </c>
      <c r="BM180">
        <f t="shared" si="329"/>
        <v>4.3641800012556797E-6</v>
      </c>
      <c r="BN180">
        <f t="shared" si="330"/>
        <v>7.0506652765635891E-2</v>
      </c>
      <c r="BO180" s="147">
        <f t="shared" si="286"/>
        <v>66.11015439986879</v>
      </c>
      <c r="BP180" s="153">
        <f t="shared" si="287"/>
        <v>2.7999999999999997E-2</v>
      </c>
      <c r="BQ180" s="153">
        <f t="shared" si="288"/>
        <v>2.7999999999999997E-2</v>
      </c>
      <c r="BR180" s="463"/>
      <c r="BT180" s="147">
        <f t="shared" si="289"/>
        <v>55.999999999999993</v>
      </c>
      <c r="BU180" s="463">
        <f t="shared" si="290"/>
        <v>8.4785378742665993E-2</v>
      </c>
      <c r="BV180" s="463">
        <f t="shared" si="291"/>
        <v>7.1945817470930665E-2</v>
      </c>
      <c r="BW180" s="463">
        <f t="shared" si="292"/>
        <v>3.6067017024198713E-3</v>
      </c>
      <c r="BX180" s="463">
        <f t="shared" si="293"/>
        <v>0</v>
      </c>
      <c r="BY180" s="463">
        <f t="shared" si="274"/>
        <v>0.18191183455867321</v>
      </c>
      <c r="BZ180" s="463">
        <f t="shared" si="250"/>
        <v>0.16033789791601652</v>
      </c>
      <c r="CA180" s="549">
        <f t="shared" si="331"/>
        <v>5.1300236406619383E-2</v>
      </c>
      <c r="CB180" s="147">
        <f t="shared" si="294"/>
        <v>553.88786679732561</v>
      </c>
      <c r="CC180" s="153">
        <f t="shared" si="251"/>
        <v>0.3597187237309285</v>
      </c>
      <c r="CD180" s="5">
        <f t="shared" si="295"/>
        <v>2.17</v>
      </c>
      <c r="CE180" s="153">
        <f t="shared" si="296"/>
        <v>0.85780287730945781</v>
      </c>
      <c r="CF180" s="5">
        <f t="shared" si="297"/>
        <v>85.780287730945787</v>
      </c>
      <c r="CG180">
        <f t="shared" si="298"/>
        <v>69.999999999999986</v>
      </c>
      <c r="CI180" s="59">
        <f t="shared" si="332"/>
        <v>-50</v>
      </c>
      <c r="CJ180">
        <f t="shared" si="333"/>
        <v>-50</v>
      </c>
    </row>
    <row r="181" spans="5:88" x14ac:dyDescent="0.25">
      <c r="E181" s="150">
        <v>71</v>
      </c>
      <c r="F181" s="191">
        <f t="shared" si="334"/>
        <v>7.0999999999999994E-2</v>
      </c>
      <c r="G181" s="191">
        <f t="shared" si="299"/>
        <v>7.0999999999999994E-2</v>
      </c>
      <c r="H181" s="191">
        <f t="shared" si="300"/>
        <v>1.0649999999999999</v>
      </c>
      <c r="I181" s="191">
        <f t="shared" si="301"/>
        <v>1.1359999999999999</v>
      </c>
      <c r="J181" s="472">
        <f t="shared" si="302"/>
        <v>13</v>
      </c>
      <c r="K181" s="386">
        <f t="shared" si="303"/>
        <v>15.32</v>
      </c>
      <c r="L181" s="386">
        <f t="shared" si="304"/>
        <v>28.32</v>
      </c>
      <c r="M181" s="386"/>
      <c r="N181" s="191">
        <f t="shared" si="305"/>
        <v>0.54096045197740117</v>
      </c>
      <c r="O181" s="152">
        <f t="shared" si="306"/>
        <v>1.1484503143794424</v>
      </c>
      <c r="P181" s="152">
        <f t="shared" si="307"/>
        <v>2.5316949152542376</v>
      </c>
      <c r="Q181" s="191">
        <f t="shared" si="308"/>
        <v>7.6563354291962829E-2</v>
      </c>
      <c r="R181" s="191">
        <f t="shared" si="309"/>
        <v>7.1778144648715153E-2</v>
      </c>
      <c r="S181" s="191">
        <f t="shared" si="310"/>
        <v>15</v>
      </c>
      <c r="T181" s="191">
        <f t="shared" si="311"/>
        <v>0.69550244359643809</v>
      </c>
      <c r="U181" s="191">
        <f t="shared" si="312"/>
        <v>2.5145088345409685</v>
      </c>
      <c r="V181" s="191">
        <f t="shared" si="313"/>
        <v>2.1337215958898557</v>
      </c>
      <c r="W181" s="175">
        <f t="shared" si="314"/>
        <v>350</v>
      </c>
      <c r="X181" s="386">
        <f t="shared" si="315"/>
        <v>215.13563386471662</v>
      </c>
      <c r="Z181" s="191">
        <f t="shared" si="316"/>
        <v>0.42750674016451157</v>
      </c>
      <c r="AA181" s="153">
        <f t="shared" si="317"/>
        <v>1.3115415657788541</v>
      </c>
      <c r="AB181" s="153">
        <f t="shared" si="318"/>
        <v>4.7478024382677106E-2</v>
      </c>
      <c r="AC181" s="153"/>
      <c r="AD181" s="153">
        <f t="shared" si="319"/>
        <v>0.46018276762402083</v>
      </c>
      <c r="AE181" s="317">
        <f t="shared" si="320"/>
        <v>2057.1536643026006</v>
      </c>
      <c r="AF181" s="463">
        <f t="shared" si="321"/>
        <v>1.2079797650130546E-2</v>
      </c>
      <c r="AH181" s="153">
        <f t="shared" si="322"/>
        <v>0.5172995111098877</v>
      </c>
      <c r="AI181" s="153">
        <f t="shared" si="323"/>
        <v>0.69550244359643809</v>
      </c>
      <c r="AJ181" s="153">
        <f t="shared" si="324"/>
        <v>1.6040758841455096</v>
      </c>
      <c r="AL181" s="317">
        <f t="shared" si="325"/>
        <v>71</v>
      </c>
      <c r="AM181" s="147">
        <f t="shared" si="326"/>
        <v>215.13563386471662</v>
      </c>
      <c r="AO181">
        <f t="shared" si="327"/>
        <v>71</v>
      </c>
      <c r="AP181">
        <f t="shared" si="328"/>
        <v>215.13563386471662</v>
      </c>
      <c r="AR181" s="5">
        <f t="shared" si="249"/>
        <v>4.6482304304308242</v>
      </c>
      <c r="AS181" s="5">
        <f t="shared" si="335"/>
        <v>2.5145088345409685</v>
      </c>
      <c r="AT181" s="5">
        <f t="shared" si="336"/>
        <v>2.1337215958898557</v>
      </c>
      <c r="AU181" s="153">
        <f t="shared" si="337"/>
        <v>0.54096045197740117</v>
      </c>
      <c r="AW181" s="5">
        <f t="shared" si="275"/>
        <v>1.1902008483493915</v>
      </c>
      <c r="AX181" s="5"/>
      <c r="AY181" s="5">
        <f t="shared" si="276"/>
        <v>1.1158132953275548</v>
      </c>
      <c r="AZ181" s="5"/>
      <c r="BA181" s="5">
        <f t="shared" si="277"/>
        <v>0.25896450138150384</v>
      </c>
      <c r="BB181" s="5"/>
      <c r="BC181" s="5"/>
      <c r="BD181" s="153">
        <f t="shared" si="278"/>
        <v>0.29533899382545559</v>
      </c>
      <c r="BE181" s="153">
        <f t="shared" si="279"/>
        <v>0.27205899190378985</v>
      </c>
      <c r="BF181" s="153">
        <f t="shared" si="280"/>
        <v>0.27241462457294507</v>
      </c>
      <c r="BG181" s="153"/>
      <c r="BH181" s="463">
        <f t="shared" si="281"/>
        <v>3.052879244584137E-2</v>
      </c>
      <c r="BI181" s="463">
        <f t="shared" si="282"/>
        <v>2.1187234042553189E-2</v>
      </c>
      <c r="BJ181" s="463">
        <f t="shared" si="283"/>
        <v>2.6891954233089579E-3</v>
      </c>
      <c r="BK181" s="463">
        <f t="shared" si="284"/>
        <v>8.6271798698850655E-3</v>
      </c>
      <c r="BL181">
        <f t="shared" si="285"/>
        <v>3.7699999999999999E-3</v>
      </c>
      <c r="BM181">
        <f t="shared" si="329"/>
        <v>4.3027126772943326E-6</v>
      </c>
      <c r="BN181">
        <f t="shared" si="330"/>
        <v>7.1329861355704224E-2</v>
      </c>
      <c r="BO181" s="147">
        <f t="shared" si="286"/>
        <v>66.802401781588586</v>
      </c>
      <c r="BP181" s="153">
        <f t="shared" si="287"/>
        <v>2.8399999999999998E-2</v>
      </c>
      <c r="BQ181" s="153">
        <f t="shared" si="288"/>
        <v>2.8399999999999998E-2</v>
      </c>
      <c r="BR181" s="463"/>
      <c r="BT181" s="147">
        <f t="shared" si="289"/>
        <v>56.8</v>
      </c>
      <c r="BU181" s="463">
        <f t="shared" si="290"/>
        <v>8.7225121273832487E-2</v>
      </c>
      <c r="BV181" s="463">
        <f t="shared" si="291"/>
        <v>7.401609507570639E-2</v>
      </c>
      <c r="BW181" s="463">
        <f t="shared" si="292"/>
        <v>3.7104863840609309E-3</v>
      </c>
      <c r="BX181" s="463">
        <f t="shared" si="293"/>
        <v>0</v>
      </c>
      <c r="BY181" s="463">
        <f t="shared" si="274"/>
        <v>0.18721644071569402</v>
      </c>
      <c r="BZ181" s="463">
        <f t="shared" si="250"/>
        <v>0.1649517027335998</v>
      </c>
      <c r="CA181" s="549">
        <f t="shared" si="331"/>
        <v>5.2033096926713922E-2</v>
      </c>
      <c r="CB181" s="147">
        <f t="shared" si="294"/>
        <v>569.15294310960746</v>
      </c>
      <c r="CC181" s="153">
        <f t="shared" si="251"/>
        <v>0.36737939899811217</v>
      </c>
      <c r="CD181" s="5">
        <f t="shared" si="295"/>
        <v>2.2009999999999996</v>
      </c>
      <c r="CE181" s="153">
        <f t="shared" si="296"/>
        <v>0.85696061915874988</v>
      </c>
      <c r="CF181" s="5">
        <f t="shared" si="297"/>
        <v>85.696061915874992</v>
      </c>
      <c r="CG181">
        <f t="shared" si="298"/>
        <v>70.999999999999986</v>
      </c>
      <c r="CI181" s="59">
        <f t="shared" si="332"/>
        <v>-50</v>
      </c>
      <c r="CJ181">
        <f t="shared" si="333"/>
        <v>-50</v>
      </c>
    </row>
    <row r="182" spans="5:88" x14ac:dyDescent="0.25">
      <c r="E182" s="150">
        <v>72</v>
      </c>
      <c r="F182" s="191">
        <f t="shared" si="334"/>
        <v>7.1999999999999995E-2</v>
      </c>
      <c r="G182" s="191">
        <f t="shared" si="299"/>
        <v>7.1999999999999995E-2</v>
      </c>
      <c r="H182" s="191">
        <f t="shared" si="300"/>
        <v>1.0799999999999998</v>
      </c>
      <c r="I182" s="191">
        <f t="shared" si="301"/>
        <v>1.1519999999999999</v>
      </c>
      <c r="J182" s="472">
        <f t="shared" si="302"/>
        <v>13</v>
      </c>
      <c r="K182" s="386">
        <f t="shared" si="303"/>
        <v>15.32</v>
      </c>
      <c r="L182" s="386">
        <f t="shared" si="304"/>
        <v>28.32</v>
      </c>
      <c r="M182" s="386"/>
      <c r="N182" s="191">
        <f t="shared" si="305"/>
        <v>0.54096045197740117</v>
      </c>
      <c r="O182" s="152">
        <f t="shared" si="306"/>
        <v>1.1484503143794424</v>
      </c>
      <c r="P182" s="152">
        <f t="shared" si="307"/>
        <v>2.5316949152542376</v>
      </c>
      <c r="Q182" s="191">
        <f t="shared" si="308"/>
        <v>7.6563354291962829E-2</v>
      </c>
      <c r="R182" s="191">
        <f t="shared" si="309"/>
        <v>7.1778144648715153E-2</v>
      </c>
      <c r="S182" s="191">
        <f t="shared" si="310"/>
        <v>15</v>
      </c>
      <c r="T182" s="191">
        <f t="shared" si="311"/>
        <v>0.70529825266117674</v>
      </c>
      <c r="U182" s="191">
        <f t="shared" si="312"/>
        <v>2.5499244519288697</v>
      </c>
      <c r="V182" s="191">
        <f t="shared" si="313"/>
        <v>2.1637740127333749</v>
      </c>
      <c r="W182" s="175">
        <f t="shared" si="314"/>
        <v>350</v>
      </c>
      <c r="X182" s="386">
        <f t="shared" si="315"/>
        <v>212.14763894992888</v>
      </c>
      <c r="Z182" s="191">
        <f t="shared" si="316"/>
        <v>0.42750674016451157</v>
      </c>
      <c r="AA182" s="153">
        <f t="shared" si="317"/>
        <v>1.3115415657788541</v>
      </c>
      <c r="AB182" s="153">
        <f t="shared" si="318"/>
        <v>4.7478024382677106E-2</v>
      </c>
      <c r="AC182" s="153"/>
      <c r="AD182" s="153">
        <f t="shared" si="319"/>
        <v>0.46018276762402083</v>
      </c>
      <c r="AE182" s="317">
        <f t="shared" si="320"/>
        <v>2086.1276595744685</v>
      </c>
      <c r="AF182" s="463">
        <f t="shared" si="321"/>
        <v>1.2079797650130546E-2</v>
      </c>
      <c r="AH182" s="153">
        <f t="shared" si="322"/>
        <v>0.52092972765529055</v>
      </c>
      <c r="AI182" s="153">
        <f t="shared" si="323"/>
        <v>0.70529825266117674</v>
      </c>
      <c r="AJ182" s="153">
        <f t="shared" si="324"/>
        <v>1.611332039008279</v>
      </c>
      <c r="AL182" s="317">
        <f t="shared" si="325"/>
        <v>72</v>
      </c>
      <c r="AM182" s="147">
        <f t="shared" si="326"/>
        <v>212.14763894992888</v>
      </c>
      <c r="AO182">
        <f t="shared" si="327"/>
        <v>72</v>
      </c>
      <c r="AP182">
        <f t="shared" si="328"/>
        <v>212.14763894992888</v>
      </c>
      <c r="AR182" s="5">
        <f t="shared" si="249"/>
        <v>4.7136984646622446</v>
      </c>
      <c r="AS182" s="5">
        <f t="shared" si="335"/>
        <v>2.5499244519288697</v>
      </c>
      <c r="AT182" s="5">
        <f t="shared" si="336"/>
        <v>2.1637740127333749</v>
      </c>
      <c r="AU182" s="153">
        <f t="shared" si="337"/>
        <v>0.54096045197740117</v>
      </c>
      <c r="AW182" s="5">
        <f t="shared" si="275"/>
        <v>1.2239637369258574</v>
      </c>
      <c r="AX182" s="5"/>
      <c r="AY182" s="5">
        <f t="shared" si="276"/>
        <v>1.1474660033679911</v>
      </c>
      <c r="AZ182" s="5"/>
      <c r="BA182" s="5">
        <f t="shared" si="277"/>
        <v>0.26631064772103069</v>
      </c>
      <c r="BB182" s="5"/>
      <c r="BC182" s="5"/>
      <c r="BD182" s="153">
        <f t="shared" si="278"/>
        <v>0.29949869796384232</v>
      </c>
      <c r="BE182" s="153">
        <f t="shared" si="279"/>
        <v>0.27589080869116717</v>
      </c>
      <c r="BF182" s="153">
        <f t="shared" si="280"/>
        <v>0.27625145027115566</v>
      </c>
      <c r="BG182" s="153"/>
      <c r="BH182" s="463">
        <f t="shared" si="281"/>
        <v>3.13948145287129E-2</v>
      </c>
      <c r="BI182" s="463">
        <f t="shared" si="282"/>
        <v>2.1187234042553189E-2</v>
      </c>
      <c r="BJ182" s="463">
        <f t="shared" si="283"/>
        <v>2.6518454868741108E-3</v>
      </c>
      <c r="BK182" s="463">
        <f t="shared" si="284"/>
        <v>8.5073579272477717E-3</v>
      </c>
      <c r="BL182">
        <f t="shared" si="285"/>
        <v>3.7699999999999999E-3</v>
      </c>
      <c r="BM182">
        <f t="shared" si="329"/>
        <v>4.2429527789985776E-6</v>
      </c>
      <c r="BN182">
        <f t="shared" si="330"/>
        <v>7.2171838966022819E-2</v>
      </c>
      <c r="BO182" s="147">
        <f t="shared" si="286"/>
        <v>67.511251985387958</v>
      </c>
      <c r="BP182" s="153">
        <f t="shared" si="287"/>
        <v>2.8799999999999999E-2</v>
      </c>
      <c r="BQ182" s="153">
        <f t="shared" si="288"/>
        <v>2.8799999999999999E-2</v>
      </c>
      <c r="BR182" s="463"/>
      <c r="BT182" s="147">
        <f t="shared" si="289"/>
        <v>57.6</v>
      </c>
      <c r="BU182" s="463">
        <f t="shared" si="290"/>
        <v>8.9699470082036853E-2</v>
      </c>
      <c r="BV182" s="463">
        <f t="shared" si="291"/>
        <v>7.6115738320266205E-2</v>
      </c>
      <c r="BW182" s="463">
        <f t="shared" si="292"/>
        <v>3.8157431888458399E-3</v>
      </c>
      <c r="BX182" s="463">
        <f t="shared" si="293"/>
        <v>0</v>
      </c>
      <c r="BY182" s="463">
        <f t="shared" si="274"/>
        <v>0.19260034415454422</v>
      </c>
      <c r="BZ182" s="463">
        <f t="shared" si="250"/>
        <v>0.16963095159114891</v>
      </c>
      <c r="CA182" s="549">
        <f t="shared" si="331"/>
        <v>5.2765957446808502E-2</v>
      </c>
      <c r="CB182" s="147">
        <f t="shared" si="294"/>
        <v>584.62820478365052</v>
      </c>
      <c r="CC182" s="153">
        <f t="shared" si="251"/>
        <v>0.37513814056737554</v>
      </c>
      <c r="CD182" s="5">
        <f t="shared" si="295"/>
        <v>2.2319999999999998</v>
      </c>
      <c r="CE182" s="153">
        <f t="shared" si="296"/>
        <v>0.85611113782956794</v>
      </c>
      <c r="CF182" s="5">
        <f t="shared" si="297"/>
        <v>85.611113782956792</v>
      </c>
      <c r="CG182">
        <f t="shared" si="298"/>
        <v>71.999999999999986</v>
      </c>
      <c r="CI182" s="59">
        <f t="shared" si="332"/>
        <v>-50</v>
      </c>
      <c r="CJ182">
        <f t="shared" si="333"/>
        <v>-50</v>
      </c>
    </row>
    <row r="183" spans="5:88" x14ac:dyDescent="0.25">
      <c r="E183" s="150">
        <v>73</v>
      </c>
      <c r="F183" s="191">
        <f t="shared" si="334"/>
        <v>7.2999999999999995E-2</v>
      </c>
      <c r="G183" s="191">
        <f t="shared" si="299"/>
        <v>7.2999999999999995E-2</v>
      </c>
      <c r="H183" s="191">
        <f t="shared" si="300"/>
        <v>1.095</v>
      </c>
      <c r="I183" s="191">
        <f t="shared" si="301"/>
        <v>1.1679999999999999</v>
      </c>
      <c r="J183" s="472">
        <f t="shared" si="302"/>
        <v>13</v>
      </c>
      <c r="K183" s="386">
        <f t="shared" si="303"/>
        <v>15.32</v>
      </c>
      <c r="L183" s="386">
        <f t="shared" si="304"/>
        <v>28.32</v>
      </c>
      <c r="M183" s="386"/>
      <c r="N183" s="191">
        <f t="shared" si="305"/>
        <v>0.54096045197740117</v>
      </c>
      <c r="O183" s="152">
        <f t="shared" si="306"/>
        <v>1.1484503143794424</v>
      </c>
      <c r="P183" s="152">
        <f t="shared" si="307"/>
        <v>2.5316949152542376</v>
      </c>
      <c r="Q183" s="191">
        <f t="shared" si="308"/>
        <v>7.6563354291962829E-2</v>
      </c>
      <c r="R183" s="191">
        <f t="shared" si="309"/>
        <v>7.1778144648715153E-2</v>
      </c>
      <c r="S183" s="191">
        <f t="shared" si="310"/>
        <v>15</v>
      </c>
      <c r="T183" s="191">
        <f t="shared" si="311"/>
        <v>0.71509406172591539</v>
      </c>
      <c r="U183" s="191">
        <f t="shared" si="312"/>
        <v>2.585340069316771</v>
      </c>
      <c r="V183" s="191">
        <f t="shared" si="313"/>
        <v>2.1938264295768941</v>
      </c>
      <c r="W183" s="175">
        <f t="shared" si="314"/>
        <v>350</v>
      </c>
      <c r="X183" s="386">
        <f t="shared" si="315"/>
        <v>209.2415069095189</v>
      </c>
      <c r="Z183" s="191">
        <f t="shared" si="316"/>
        <v>0.42750674016451157</v>
      </c>
      <c r="AA183" s="153">
        <f t="shared" si="317"/>
        <v>1.3115415657788541</v>
      </c>
      <c r="AB183" s="153">
        <f t="shared" si="318"/>
        <v>4.7478024382677106E-2</v>
      </c>
      <c r="AC183" s="153"/>
      <c r="AD183" s="153">
        <f t="shared" si="319"/>
        <v>0.46018276762402083</v>
      </c>
      <c r="AE183" s="317">
        <f t="shared" si="320"/>
        <v>2115.1016548463363</v>
      </c>
      <c r="AF183" s="463">
        <f t="shared" si="321"/>
        <v>1.2079797650130546E-2</v>
      </c>
      <c r="AH183" s="153">
        <f t="shared" si="322"/>
        <v>0.52453482068924795</v>
      </c>
      <c r="AI183" s="153">
        <f t="shared" si="323"/>
        <v>0.71509406172591539</v>
      </c>
      <c r="AJ183" s="153">
        <f t="shared" si="324"/>
        <v>1.6185881938710485</v>
      </c>
      <c r="AL183" s="317">
        <f t="shared" si="325"/>
        <v>73</v>
      </c>
      <c r="AM183" s="147">
        <f t="shared" si="326"/>
        <v>209.2415069095189</v>
      </c>
      <c r="AO183">
        <f t="shared" si="327"/>
        <v>73</v>
      </c>
      <c r="AP183">
        <f t="shared" si="328"/>
        <v>209.2415069095189</v>
      </c>
      <c r="AR183" s="5">
        <f t="shared" si="249"/>
        <v>4.7791664988936651</v>
      </c>
      <c r="AS183" s="5">
        <f t="shared" si="335"/>
        <v>2.585340069316771</v>
      </c>
      <c r="AT183" s="5">
        <f t="shared" si="336"/>
        <v>2.1938264295768941</v>
      </c>
      <c r="AU183" s="153">
        <f t="shared" si="337"/>
        <v>0.54096045197740117</v>
      </c>
      <c r="AW183" s="5">
        <f t="shared" si="275"/>
        <v>1.2581988337341616</v>
      </c>
      <c r="AX183" s="5"/>
      <c r="AY183" s="5">
        <f t="shared" si="276"/>
        <v>1.1795614066257767</v>
      </c>
      <c r="AZ183" s="5"/>
      <c r="BA183" s="5">
        <f t="shared" si="277"/>
        <v>0.27375953736600556</v>
      </c>
      <c r="BB183" s="5"/>
      <c r="BC183" s="5"/>
      <c r="BD183" s="153">
        <f t="shared" si="278"/>
        <v>0.30365840210222905</v>
      </c>
      <c r="BE183" s="153">
        <f t="shared" si="279"/>
        <v>0.27972262547854454</v>
      </c>
      <c r="BF183" s="153">
        <f t="shared" si="280"/>
        <v>0.28008827596936614</v>
      </c>
      <c r="BG183" s="153"/>
      <c r="BH183" s="463">
        <f t="shared" si="281"/>
        <v>3.2272948808547655E-2</v>
      </c>
      <c r="BI183" s="463">
        <f t="shared" si="282"/>
        <v>2.1187234042553193E-2</v>
      </c>
      <c r="BJ183" s="463">
        <f t="shared" si="283"/>
        <v>2.6155188363689861E-3</v>
      </c>
      <c r="BK183" s="463">
        <f t="shared" si="284"/>
        <v>8.3908187775594469E-3</v>
      </c>
      <c r="BL183">
        <f t="shared" si="285"/>
        <v>3.7699999999999999E-3</v>
      </c>
      <c r="BM183">
        <f t="shared" si="329"/>
        <v>4.1848301381903783E-6</v>
      </c>
      <c r="BN183">
        <f t="shared" si="330"/>
        <v>7.3032414603537418E-2</v>
      </c>
      <c r="BO183" s="147">
        <f t="shared" si="286"/>
        <v>68.236520465029272</v>
      </c>
      <c r="BP183" s="153">
        <f t="shared" si="287"/>
        <v>2.92E-2</v>
      </c>
      <c r="BQ183" s="153">
        <f t="shared" si="288"/>
        <v>2.92E-2</v>
      </c>
      <c r="BR183" s="463"/>
      <c r="BT183" s="147">
        <f t="shared" si="289"/>
        <v>58.4</v>
      </c>
      <c r="BU183" s="463">
        <f t="shared" si="290"/>
        <v>9.2208425167279021E-2</v>
      </c>
      <c r="BV183" s="463">
        <f t="shared" si="291"/>
        <v>7.8244747204610096E-2</v>
      </c>
      <c r="BW183" s="463">
        <f t="shared" si="292"/>
        <v>3.9224721167745906E-3</v>
      </c>
      <c r="BX183" s="463">
        <f t="shared" si="293"/>
        <v>0</v>
      </c>
      <c r="BY183" s="463">
        <f t="shared" si="274"/>
        <v>0.19806372094649277</v>
      </c>
      <c r="BZ183" s="463">
        <f t="shared" si="250"/>
        <v>0.17437564448866372</v>
      </c>
      <c r="CA183" s="549">
        <f t="shared" si="331"/>
        <v>5.3498817966903089E-2</v>
      </c>
      <c r="CB183" s="147">
        <f t="shared" si="294"/>
        <v>600.31382789072336</v>
      </c>
      <c r="CC183" s="153">
        <f t="shared" si="251"/>
        <v>0.3829949535169333</v>
      </c>
      <c r="CD183" s="5">
        <f t="shared" si="295"/>
        <v>2.2629999999999999</v>
      </c>
      <c r="CE183" s="153">
        <f t="shared" si="296"/>
        <v>0.8552548435484072</v>
      </c>
      <c r="CF183" s="5">
        <f t="shared" si="297"/>
        <v>85.525484354840714</v>
      </c>
      <c r="CG183">
        <f t="shared" si="298"/>
        <v>72.999999999999986</v>
      </c>
      <c r="CI183" s="59">
        <f t="shared" si="332"/>
        <v>-50</v>
      </c>
      <c r="CJ183">
        <f t="shared" si="333"/>
        <v>-50</v>
      </c>
    </row>
    <row r="184" spans="5:88" x14ac:dyDescent="0.25">
      <c r="E184" s="150">
        <v>74</v>
      </c>
      <c r="F184" s="191">
        <f t="shared" si="334"/>
        <v>7.3999999999999996E-2</v>
      </c>
      <c r="G184" s="191">
        <f t="shared" si="299"/>
        <v>7.3999999999999996E-2</v>
      </c>
      <c r="H184" s="191">
        <f t="shared" si="300"/>
        <v>1.1099999999999999</v>
      </c>
      <c r="I184" s="191">
        <f t="shared" si="301"/>
        <v>1.1839999999999999</v>
      </c>
      <c r="J184" s="472">
        <f t="shared" si="302"/>
        <v>13</v>
      </c>
      <c r="K184" s="386">
        <f t="shared" si="303"/>
        <v>15.32</v>
      </c>
      <c r="L184" s="386">
        <f t="shared" si="304"/>
        <v>28.32</v>
      </c>
      <c r="M184" s="386"/>
      <c r="N184" s="191">
        <f t="shared" si="305"/>
        <v>0.54096045197740117</v>
      </c>
      <c r="O184" s="152">
        <f t="shared" si="306"/>
        <v>1.1484503143794424</v>
      </c>
      <c r="P184" s="152">
        <f t="shared" si="307"/>
        <v>2.5316949152542376</v>
      </c>
      <c r="Q184" s="191">
        <f t="shared" si="308"/>
        <v>7.6563354291962829E-2</v>
      </c>
      <c r="R184" s="191">
        <f t="shared" si="309"/>
        <v>7.1778144648715153E-2</v>
      </c>
      <c r="S184" s="191">
        <f t="shared" si="310"/>
        <v>15</v>
      </c>
      <c r="T184" s="191">
        <f t="shared" si="311"/>
        <v>0.72488987079065381</v>
      </c>
      <c r="U184" s="191">
        <f t="shared" si="312"/>
        <v>2.6207556867046713</v>
      </c>
      <c r="V184" s="191">
        <f t="shared" si="313"/>
        <v>2.2238788464204124</v>
      </c>
      <c r="W184" s="175">
        <f t="shared" si="314"/>
        <v>350</v>
      </c>
      <c r="X184" s="386">
        <f t="shared" si="315"/>
        <v>206.41391897830925</v>
      </c>
      <c r="Z184" s="191">
        <f t="shared" si="316"/>
        <v>0.42750674016451157</v>
      </c>
      <c r="AA184" s="153">
        <f t="shared" si="317"/>
        <v>1.3115415657788541</v>
      </c>
      <c r="AB184" s="153">
        <f t="shared" si="318"/>
        <v>4.7478024382677106E-2</v>
      </c>
      <c r="AC184" s="153"/>
      <c r="AD184" s="153">
        <f t="shared" si="319"/>
        <v>0.46018276762402083</v>
      </c>
      <c r="AE184" s="317">
        <f t="shared" si="320"/>
        <v>2144.0756501182036</v>
      </c>
      <c r="AF184" s="463">
        <f t="shared" si="321"/>
        <v>1.2079797650130546E-2</v>
      </c>
      <c r="AH184" s="153">
        <f t="shared" si="322"/>
        <v>0.52811530471667623</v>
      </c>
      <c r="AI184" s="153">
        <f t="shared" si="323"/>
        <v>0.72488987079065381</v>
      </c>
      <c r="AJ184" s="153">
        <f t="shared" si="324"/>
        <v>1.6258443487338177</v>
      </c>
      <c r="AL184" s="317">
        <f t="shared" si="325"/>
        <v>74</v>
      </c>
      <c r="AM184" s="147">
        <f t="shared" si="326"/>
        <v>206.41391897830925</v>
      </c>
      <c r="AO184">
        <f t="shared" si="327"/>
        <v>74</v>
      </c>
      <c r="AP184">
        <f t="shared" si="328"/>
        <v>206.41391897830925</v>
      </c>
      <c r="AR184" s="5">
        <f t="shared" si="249"/>
        <v>4.8446345331250837</v>
      </c>
      <c r="AS184" s="5">
        <f t="shared" si="335"/>
        <v>2.6207556867046713</v>
      </c>
      <c r="AT184" s="5">
        <f t="shared" si="336"/>
        <v>2.2238788464204124</v>
      </c>
      <c r="AU184" s="153">
        <f t="shared" si="337"/>
        <v>0.54096045197740117</v>
      </c>
      <c r="AW184" s="5">
        <f t="shared" si="275"/>
        <v>1.2929061387743044</v>
      </c>
      <c r="AX184" s="5"/>
      <c r="AY184" s="5">
        <f t="shared" si="276"/>
        <v>1.2120995051009105</v>
      </c>
      <c r="AZ184" s="5"/>
      <c r="BA184" s="5">
        <f t="shared" si="277"/>
        <v>0.28131117031642822</v>
      </c>
      <c r="BB184" s="5"/>
      <c r="BC184" s="5"/>
      <c r="BD184" s="153">
        <f t="shared" si="278"/>
        <v>0.30781810624061567</v>
      </c>
      <c r="BE184" s="153">
        <f t="shared" si="279"/>
        <v>0.2835544422659218</v>
      </c>
      <c r="BF184" s="153">
        <f t="shared" si="280"/>
        <v>0.28392510166757662</v>
      </c>
      <c r="BG184" s="153"/>
      <c r="BH184" s="463">
        <f t="shared" si="281"/>
        <v>3.3163195285345635E-2</v>
      </c>
      <c r="BI184" s="463">
        <f t="shared" si="282"/>
        <v>2.11872340425532E-2</v>
      </c>
      <c r="BJ184" s="463">
        <f t="shared" si="283"/>
        <v>2.5801739872288653E-3</v>
      </c>
      <c r="BK184" s="463">
        <f t="shared" si="284"/>
        <v>8.2774293346194565E-3</v>
      </c>
      <c r="BL184">
        <f t="shared" si="285"/>
        <v>3.7699999999999999E-3</v>
      </c>
      <c r="BM184">
        <f t="shared" si="329"/>
        <v>4.1282783795661852E-6</v>
      </c>
      <c r="BN184">
        <f t="shared" si="330"/>
        <v>7.391142745606781E-2</v>
      </c>
      <c r="BO184" s="147">
        <f t="shared" si="286"/>
        <v>68.978032649747149</v>
      </c>
      <c r="BP184" s="153">
        <f t="shared" si="287"/>
        <v>2.9600000000000001E-2</v>
      </c>
      <c r="BQ184" s="153">
        <f t="shared" si="288"/>
        <v>2.9600000000000001E-2</v>
      </c>
      <c r="BR184" s="463"/>
      <c r="BT184" s="147">
        <f t="shared" si="289"/>
        <v>59.2</v>
      </c>
      <c r="BU184" s="463">
        <f t="shared" si="290"/>
        <v>9.4751986529558963E-2</v>
      </c>
      <c r="BV184" s="463">
        <f t="shared" si="291"/>
        <v>8.0403121728737981E-2</v>
      </c>
      <c r="BW184" s="463">
        <f t="shared" si="292"/>
        <v>4.030673167847186E-3</v>
      </c>
      <c r="BX184" s="463">
        <f t="shared" si="293"/>
        <v>0</v>
      </c>
      <c r="BY184" s="463">
        <f t="shared" si="274"/>
        <v>0.20360674996497033</v>
      </c>
      <c r="BZ184" s="463">
        <f t="shared" si="250"/>
        <v>0.17918578142614414</v>
      </c>
      <c r="CA184" s="549">
        <f t="shared" si="331"/>
        <v>5.4231678486997649E-2</v>
      </c>
      <c r="CB184" s="147">
        <f t="shared" si="294"/>
        <v>616.20999130425628</v>
      </c>
      <c r="CC184" s="153">
        <f t="shared" si="251"/>
        <v>0.39094985590803583</v>
      </c>
      <c r="CD184" s="5">
        <f t="shared" si="295"/>
        <v>2.2939999999999996</v>
      </c>
      <c r="CE184" s="153">
        <f t="shared" si="296"/>
        <v>0.85439212019256916</v>
      </c>
      <c r="CF184" s="5">
        <f t="shared" si="297"/>
        <v>85.439212019256914</v>
      </c>
      <c r="CG184">
        <f t="shared" si="298"/>
        <v>73.999999999999986</v>
      </c>
      <c r="CI184" s="59">
        <f t="shared" si="332"/>
        <v>-50</v>
      </c>
      <c r="CJ184">
        <f t="shared" si="333"/>
        <v>-50</v>
      </c>
    </row>
    <row r="185" spans="5:88" x14ac:dyDescent="0.25">
      <c r="E185" s="150">
        <v>75</v>
      </c>
      <c r="F185" s="191">
        <f t="shared" si="334"/>
        <v>7.5000000000000011E-2</v>
      </c>
      <c r="G185" s="191">
        <f t="shared" si="299"/>
        <v>7.5000000000000011E-2</v>
      </c>
      <c r="H185" s="191">
        <f t="shared" si="300"/>
        <v>1.1250000000000002</v>
      </c>
      <c r="I185" s="191">
        <f t="shared" si="301"/>
        <v>1.2000000000000002</v>
      </c>
      <c r="J185" s="472">
        <f t="shared" si="302"/>
        <v>13</v>
      </c>
      <c r="K185" s="386">
        <f t="shared" si="303"/>
        <v>15.32</v>
      </c>
      <c r="L185" s="386">
        <f t="shared" si="304"/>
        <v>28.32</v>
      </c>
      <c r="M185" s="386"/>
      <c r="N185" s="191">
        <f t="shared" si="305"/>
        <v>0.54096045197740117</v>
      </c>
      <c r="O185" s="152">
        <f t="shared" si="306"/>
        <v>1.1484503143794424</v>
      </c>
      <c r="P185" s="152">
        <f t="shared" si="307"/>
        <v>2.5316949152542376</v>
      </c>
      <c r="Q185" s="191">
        <f t="shared" si="308"/>
        <v>7.6563354291962829E-2</v>
      </c>
      <c r="R185" s="191">
        <f t="shared" si="309"/>
        <v>7.1778144648715153E-2</v>
      </c>
      <c r="S185" s="191">
        <f t="shared" si="310"/>
        <v>15</v>
      </c>
      <c r="T185" s="191">
        <f t="shared" si="311"/>
        <v>0.73468567985539257</v>
      </c>
      <c r="U185" s="191">
        <f t="shared" si="312"/>
        <v>2.656171304092573</v>
      </c>
      <c r="V185" s="191">
        <f t="shared" si="313"/>
        <v>2.2539312632639326</v>
      </c>
      <c r="W185" s="175">
        <f t="shared" si="314"/>
        <v>350</v>
      </c>
      <c r="X185" s="386">
        <f t="shared" si="315"/>
        <v>203.66173339193173</v>
      </c>
      <c r="Z185" s="191">
        <f t="shared" si="316"/>
        <v>0.42750674016451157</v>
      </c>
      <c r="AA185" s="153">
        <f t="shared" si="317"/>
        <v>1.3115415657788541</v>
      </c>
      <c r="AB185" s="153">
        <f t="shared" si="318"/>
        <v>4.7478024382677106E-2</v>
      </c>
      <c r="AC185" s="153"/>
      <c r="AD185" s="153">
        <f t="shared" si="319"/>
        <v>0.46018276762402083</v>
      </c>
      <c r="AE185" s="317">
        <f t="shared" si="320"/>
        <v>2173.0496453900719</v>
      </c>
      <c r="AF185" s="463">
        <f t="shared" si="321"/>
        <v>1.2079797650130546E-2</v>
      </c>
      <c r="AH185" s="153">
        <f t="shared" si="322"/>
        <v>0.53167167691769535</v>
      </c>
      <c r="AI185" s="153">
        <f t="shared" si="323"/>
        <v>0.73468567985539257</v>
      </c>
      <c r="AJ185" s="153">
        <f t="shared" si="324"/>
        <v>1.6331005035965871</v>
      </c>
      <c r="AL185" s="317">
        <f t="shared" si="325"/>
        <v>75.000000000000014</v>
      </c>
      <c r="AM185" s="147">
        <f t="shared" si="326"/>
        <v>203.66173339193173</v>
      </c>
      <c r="AO185">
        <f t="shared" si="327"/>
        <v>75.000000000000014</v>
      </c>
      <c r="AP185">
        <f t="shared" si="328"/>
        <v>203.66173339193173</v>
      </c>
      <c r="AR185" s="5">
        <f t="shared" si="249"/>
        <v>4.9101025673565051</v>
      </c>
      <c r="AS185" s="5">
        <f t="shared" si="335"/>
        <v>2.656171304092573</v>
      </c>
      <c r="AT185" s="5">
        <f t="shared" si="336"/>
        <v>2.2539312632639321</v>
      </c>
      <c r="AU185" s="153">
        <f t="shared" si="337"/>
        <v>0.54096045197740117</v>
      </c>
      <c r="AW185" s="5">
        <f t="shared" si="275"/>
        <v>1.3280856520462867</v>
      </c>
      <c r="AX185" s="5"/>
      <c r="AY185" s="5">
        <f t="shared" si="276"/>
        <v>1.2450802987933938</v>
      </c>
      <c r="AZ185" s="5"/>
      <c r="BA185" s="5">
        <f t="shared" si="277"/>
        <v>0.28896554657229906</v>
      </c>
      <c r="BB185" s="5"/>
      <c r="BC185" s="5"/>
      <c r="BD185" s="153">
        <f t="shared" si="278"/>
        <v>0.31197781037900246</v>
      </c>
      <c r="BE185" s="153">
        <f t="shared" si="279"/>
        <v>0.28738625905329918</v>
      </c>
      <c r="BF185" s="153">
        <f t="shared" si="280"/>
        <v>0.28776192736578715</v>
      </c>
      <c r="BG185" s="153"/>
      <c r="BH185" s="463">
        <f t="shared" si="281"/>
        <v>3.4065553959106883E-2</v>
      </c>
      <c r="BI185" s="463">
        <f t="shared" si="282"/>
        <v>2.1187234042553193E-2</v>
      </c>
      <c r="BJ185" s="463">
        <f t="shared" si="283"/>
        <v>2.5457716673991464E-3</v>
      </c>
      <c r="BK185" s="463">
        <f t="shared" si="284"/>
        <v>8.1670636101578622E-3</v>
      </c>
      <c r="BL185">
        <f t="shared" si="285"/>
        <v>3.7699999999999999E-3</v>
      </c>
      <c r="BM185">
        <f t="shared" si="329"/>
        <v>4.0732346678386345E-6</v>
      </c>
      <c r="BN185">
        <f t="shared" si="330"/>
        <v>7.4808726227498651E-2</v>
      </c>
      <c r="BO185" s="147">
        <f t="shared" si="286"/>
        <v>69.73562327921708</v>
      </c>
      <c r="BP185" s="153">
        <f t="shared" si="287"/>
        <v>3.0000000000000006E-2</v>
      </c>
      <c r="BQ185" s="153">
        <f t="shared" si="288"/>
        <v>3.0000000000000006E-2</v>
      </c>
      <c r="BR185" s="463"/>
      <c r="BT185" s="147">
        <f t="shared" si="289"/>
        <v>60.000000000000014</v>
      </c>
      <c r="BU185" s="463">
        <f t="shared" si="290"/>
        <v>9.7330154168876817E-2</v>
      </c>
      <c r="BV185" s="463">
        <f t="shared" si="291"/>
        <v>8.2590861892649983E-2</v>
      </c>
      <c r="BW185" s="463">
        <f t="shared" si="292"/>
        <v>4.1403463420636279E-3</v>
      </c>
      <c r="BX185" s="463">
        <f t="shared" si="293"/>
        <v>0</v>
      </c>
      <c r="BY185" s="463">
        <f t="shared" si="274"/>
        <v>0.20922961290047223</v>
      </c>
      <c r="BZ185" s="463">
        <f t="shared" si="250"/>
        <v>0.18406136240359042</v>
      </c>
      <c r="CA185" s="549">
        <f t="shared" si="331"/>
        <v>5.4964539007092222E-2</v>
      </c>
      <c r="CB185" s="147">
        <f t="shared" si="294"/>
        <v>632.31687671474526</v>
      </c>
      <c r="CC185" s="153">
        <f t="shared" si="251"/>
        <v>0.39900287813506308</v>
      </c>
      <c r="CD185" s="5">
        <f t="shared" si="295"/>
        <v>2.3250000000000002</v>
      </c>
      <c r="CE185" s="153">
        <f t="shared" si="296"/>
        <v>0.85352332725572122</v>
      </c>
      <c r="CF185" s="5">
        <f t="shared" si="297"/>
        <v>85.352332725572126</v>
      </c>
      <c r="CG185">
        <f t="shared" si="298"/>
        <v>75.000000000000014</v>
      </c>
      <c r="CI185" s="59">
        <f t="shared" si="332"/>
        <v>-50</v>
      </c>
      <c r="CJ185">
        <f t="shared" si="333"/>
        <v>-50</v>
      </c>
    </row>
    <row r="186" spans="5:88" x14ac:dyDescent="0.25">
      <c r="E186" s="150">
        <v>76</v>
      </c>
      <c r="F186" s="191">
        <f t="shared" si="334"/>
        <v>7.6000000000000012E-2</v>
      </c>
      <c r="G186" s="191">
        <f t="shared" si="299"/>
        <v>7.6000000000000012E-2</v>
      </c>
      <c r="H186" s="191">
        <f t="shared" si="300"/>
        <v>1.1400000000000001</v>
      </c>
      <c r="I186" s="191">
        <f t="shared" si="301"/>
        <v>1.2160000000000002</v>
      </c>
      <c r="J186" s="472">
        <f t="shared" si="302"/>
        <v>13</v>
      </c>
      <c r="K186" s="386">
        <f t="shared" si="303"/>
        <v>15.32</v>
      </c>
      <c r="L186" s="386">
        <f t="shared" si="304"/>
        <v>28.32</v>
      </c>
      <c r="M186" s="386"/>
      <c r="N186" s="191">
        <f t="shared" si="305"/>
        <v>0.54096045197740117</v>
      </c>
      <c r="O186" s="152">
        <f t="shared" si="306"/>
        <v>1.1484503143794424</v>
      </c>
      <c r="P186" s="152">
        <f t="shared" si="307"/>
        <v>2.5316949152542376</v>
      </c>
      <c r="Q186" s="191">
        <f t="shared" si="308"/>
        <v>7.6563354291962829E-2</v>
      </c>
      <c r="R186" s="191">
        <f t="shared" si="309"/>
        <v>7.1778144648715153E-2</v>
      </c>
      <c r="S186" s="191">
        <f t="shared" si="310"/>
        <v>15</v>
      </c>
      <c r="T186" s="191">
        <f t="shared" si="311"/>
        <v>0.74448148892013122</v>
      </c>
      <c r="U186" s="191">
        <f t="shared" si="312"/>
        <v>2.6915869214804746</v>
      </c>
      <c r="V186" s="191">
        <f t="shared" si="313"/>
        <v>2.2839836801074522</v>
      </c>
      <c r="W186" s="175">
        <f t="shared" si="314"/>
        <v>350</v>
      </c>
      <c r="X186" s="386">
        <f t="shared" si="315"/>
        <v>200.98197374203781</v>
      </c>
      <c r="Z186" s="191">
        <f t="shared" si="316"/>
        <v>0.42750674016451157</v>
      </c>
      <c r="AA186" s="153">
        <f t="shared" si="317"/>
        <v>1.3115415657788541</v>
      </c>
      <c r="AB186" s="153">
        <f t="shared" si="318"/>
        <v>4.7478024382677106E-2</v>
      </c>
      <c r="AC186" s="153"/>
      <c r="AD186" s="153">
        <f t="shared" si="319"/>
        <v>0.46018276762402083</v>
      </c>
      <c r="AE186" s="317">
        <f t="shared" si="320"/>
        <v>2202.0236406619397</v>
      </c>
      <c r="AF186" s="463">
        <f t="shared" si="321"/>
        <v>1.2079797650130546E-2</v>
      </c>
      <c r="AH186" s="153">
        <f t="shared" si="322"/>
        <v>0.53520441795351481</v>
      </c>
      <c r="AI186" s="153">
        <f t="shared" si="323"/>
        <v>0.74448148892013122</v>
      </c>
      <c r="AJ186" s="153">
        <f t="shared" si="324"/>
        <v>1.6403566584593565</v>
      </c>
      <c r="AL186" s="317">
        <f t="shared" si="325"/>
        <v>76.000000000000014</v>
      </c>
      <c r="AM186" s="147">
        <f t="shared" si="326"/>
        <v>200.98197374203781</v>
      </c>
      <c r="AO186">
        <f t="shared" si="327"/>
        <v>76.000000000000014</v>
      </c>
      <c r="AP186">
        <f t="shared" si="328"/>
        <v>200.98197374203781</v>
      </c>
      <c r="AR186" s="5">
        <f t="shared" si="249"/>
        <v>4.9755706015879273</v>
      </c>
      <c r="AS186" s="5">
        <f t="shared" si="335"/>
        <v>2.6915869214804746</v>
      </c>
      <c r="AT186" s="5">
        <f t="shared" si="336"/>
        <v>2.2839836801074527</v>
      </c>
      <c r="AU186" s="153">
        <f t="shared" si="337"/>
        <v>0.54096045197740106</v>
      </c>
      <c r="AW186" s="5">
        <f t="shared" si="275"/>
        <v>1.3637373735501073</v>
      </c>
      <c r="AX186" s="5"/>
      <c r="AY186" s="5">
        <f t="shared" si="276"/>
        <v>1.2785037877032257</v>
      </c>
      <c r="AZ186" s="5"/>
      <c r="BA186" s="5">
        <f t="shared" si="277"/>
        <v>0.29672266613361781</v>
      </c>
      <c r="BB186" s="5"/>
      <c r="BC186" s="5"/>
      <c r="BD186" s="153">
        <f t="shared" si="278"/>
        <v>0.31613751451738908</v>
      </c>
      <c r="BE186" s="153">
        <f t="shared" si="279"/>
        <v>0.2912180758406766</v>
      </c>
      <c r="BF186" s="153">
        <f t="shared" si="280"/>
        <v>0.29159875306399774</v>
      </c>
      <c r="BG186" s="153"/>
      <c r="BH186" s="463">
        <f t="shared" si="281"/>
        <v>3.4980024829831334E-2</v>
      </c>
      <c r="BI186" s="463">
        <f t="shared" si="282"/>
        <v>2.1187234042553189E-2</v>
      </c>
      <c r="BJ186" s="463">
        <f t="shared" si="283"/>
        <v>2.5122746717754726E-3</v>
      </c>
      <c r="BK186" s="463">
        <f t="shared" si="284"/>
        <v>8.0596022468663077E-3</v>
      </c>
      <c r="BL186">
        <f t="shared" si="285"/>
        <v>3.7699999999999999E-3</v>
      </c>
      <c r="BM186">
        <f t="shared" si="329"/>
        <v>4.0196394748407559E-6</v>
      </c>
      <c r="BN186">
        <f t="shared" si="330"/>
        <v>7.5724168525500221E-2</v>
      </c>
      <c r="BO186" s="147">
        <f t="shared" si="286"/>
        <v>70.509135791026296</v>
      </c>
      <c r="BP186" s="153">
        <f t="shared" si="287"/>
        <v>3.0400000000000007E-2</v>
      </c>
      <c r="BQ186" s="153">
        <f t="shared" si="288"/>
        <v>3.0400000000000007E-2</v>
      </c>
      <c r="BR186" s="463"/>
      <c r="BT186" s="147">
        <f t="shared" si="289"/>
        <v>60.800000000000011</v>
      </c>
      <c r="BU186" s="463">
        <f t="shared" si="290"/>
        <v>9.9942928085232391E-2</v>
      </c>
      <c r="BV186" s="463">
        <f t="shared" si="291"/>
        <v>8.4807967696346076E-2</v>
      </c>
      <c r="BW186" s="463">
        <f t="shared" si="292"/>
        <v>4.2514916394239171E-3</v>
      </c>
      <c r="BX186" s="463">
        <f t="shared" si="293"/>
        <v>0</v>
      </c>
      <c r="BY186" s="463">
        <f t="shared" si="274"/>
        <v>0.21493249427571967</v>
      </c>
      <c r="BZ186" s="463">
        <f t="shared" si="250"/>
        <v>0.18900238742100239</v>
      </c>
      <c r="CA186" s="549">
        <f t="shared" si="331"/>
        <v>5.5697399527186761E-2</v>
      </c>
      <c r="CB186" s="147">
        <f t="shared" si="294"/>
        <v>648.63466864491124</v>
      </c>
      <c r="CC186" s="153">
        <f t="shared" si="251"/>
        <v>0.40715406232840667</v>
      </c>
      <c r="CD186" s="5">
        <f t="shared" si="295"/>
        <v>2.3560000000000003</v>
      </c>
      <c r="CE186" s="153">
        <f t="shared" si="296"/>
        <v>0.85264880164325219</v>
      </c>
      <c r="CF186" s="5">
        <f t="shared" si="297"/>
        <v>85.26488016432522</v>
      </c>
      <c r="CG186">
        <f t="shared" si="298"/>
        <v>76.000000000000014</v>
      </c>
      <c r="CI186" s="59">
        <f t="shared" si="332"/>
        <v>-50</v>
      </c>
      <c r="CJ186">
        <f t="shared" si="333"/>
        <v>-50</v>
      </c>
    </row>
    <row r="187" spans="5:88" x14ac:dyDescent="0.25">
      <c r="E187" s="150">
        <v>77</v>
      </c>
      <c r="F187" s="191">
        <f t="shared" si="334"/>
        <v>7.7000000000000013E-2</v>
      </c>
      <c r="G187" s="191">
        <f t="shared" si="299"/>
        <v>7.7000000000000013E-2</v>
      </c>
      <c r="H187" s="191">
        <f t="shared" si="300"/>
        <v>1.1550000000000002</v>
      </c>
      <c r="I187" s="191">
        <f t="shared" si="301"/>
        <v>1.2320000000000002</v>
      </c>
      <c r="J187" s="472">
        <f t="shared" si="302"/>
        <v>13</v>
      </c>
      <c r="K187" s="386">
        <f t="shared" si="303"/>
        <v>15.234939147784965</v>
      </c>
      <c r="L187" s="386">
        <f t="shared" si="304"/>
        <v>28.32</v>
      </c>
      <c r="M187" s="386"/>
      <c r="N187" s="191">
        <f t="shared" si="305"/>
        <v>0.54096045197740117</v>
      </c>
      <c r="O187" s="152">
        <f t="shared" si="306"/>
        <v>1.1484503143794424</v>
      </c>
      <c r="P187" s="152">
        <f t="shared" si="307"/>
        <v>2.5316949152542376</v>
      </c>
      <c r="Q187" s="191">
        <f t="shared" si="308"/>
        <v>7.6563354291962829E-2</v>
      </c>
      <c r="R187" s="191">
        <f t="shared" si="309"/>
        <v>7.1778144648715153E-2</v>
      </c>
      <c r="S187" s="191">
        <f t="shared" si="310"/>
        <v>14.914939147784965</v>
      </c>
      <c r="T187" s="191">
        <f t="shared" si="311"/>
        <v>0.75</v>
      </c>
      <c r="U187" s="191">
        <f t="shared" si="312"/>
        <v>2.7115384615384612</v>
      </c>
      <c r="V187" s="191">
        <f t="shared" si="313"/>
        <v>2.3137604724286054</v>
      </c>
      <c r="W187" s="175">
        <f t="shared" si="314"/>
        <v>350</v>
      </c>
      <c r="X187" s="386">
        <f t="shared" si="315"/>
        <v>198.99313715265509</v>
      </c>
      <c r="Z187" s="191">
        <f t="shared" si="316"/>
        <v>0.42641386532711811</v>
      </c>
      <c r="AA187" s="153">
        <f t="shared" si="317"/>
        <v>1.3154927286525073</v>
      </c>
      <c r="AB187" s="153">
        <f t="shared" si="318"/>
        <v>4.749931904807702E-2</v>
      </c>
      <c r="AC187" s="153"/>
      <c r="AD187" s="153">
        <f t="shared" si="319"/>
        <v>0.46275209448572108</v>
      </c>
      <c r="AE187" s="317">
        <f t="shared" si="320"/>
        <v>2218.6105236490644</v>
      </c>
      <c r="AF187" s="463">
        <f t="shared" si="321"/>
        <v>1.2147242480250177E-2</v>
      </c>
      <c r="AH187" s="153">
        <f t="shared" si="322"/>
        <v>0.53871399272475451</v>
      </c>
      <c r="AI187" s="153">
        <f t="shared" si="323"/>
        <v>0.75</v>
      </c>
      <c r="AJ187" s="153">
        <f t="shared" si="324"/>
        <v>1.6444444444444444</v>
      </c>
      <c r="AL187" s="317">
        <f t="shared" si="325"/>
        <v>77.000000000000014</v>
      </c>
      <c r="AM187" s="147">
        <f t="shared" si="326"/>
        <v>198.99313715265509</v>
      </c>
      <c r="AO187" t="str">
        <f t="shared" si="327"/>
        <v/>
      </c>
      <c r="AP187" t="str">
        <f t="shared" si="328"/>
        <v/>
      </c>
      <c r="AR187" s="5">
        <f t="shared" si="249"/>
        <v>5.0252989339670666</v>
      </c>
      <c r="AS187" s="5">
        <f t="shared" si="335"/>
        <v>2.7115384615384612</v>
      </c>
      <c r="AT187" s="5">
        <f t="shared" si="336"/>
        <v>2.3137604724286054</v>
      </c>
      <c r="AU187" s="153">
        <f t="shared" si="337"/>
        <v>0.53957754497162247</v>
      </c>
      <c r="AW187" s="5">
        <f t="shared" si="275"/>
        <v>1.391923076923077</v>
      </c>
      <c r="AX187" s="5"/>
      <c r="AY187" s="5">
        <f t="shared" si="276"/>
        <v>1.3049278846153849</v>
      </c>
      <c r="AZ187" s="5"/>
      <c r="BA187" s="5">
        <f t="shared" si="277"/>
        <v>0.30454625021709852</v>
      </c>
      <c r="BB187" s="5"/>
      <c r="BC187" s="5"/>
      <c r="BD187" s="153">
        <f t="shared" si="278"/>
        <v>0.31807356017465394</v>
      </c>
      <c r="BE187" s="153">
        <f t="shared" si="279"/>
        <v>0.29381832876425662</v>
      </c>
      <c r="BF187" s="153">
        <f t="shared" si="280"/>
        <v>0.29420240501100731</v>
      </c>
      <c r="BG187" s="153"/>
      <c r="BH187" s="463">
        <f t="shared" si="281"/>
        <v>3.540977638876272E-2</v>
      </c>
      <c r="BI187" s="463">
        <f t="shared" si="282"/>
        <v>2.1133071165611972E-2</v>
      </c>
      <c r="BJ187" s="463">
        <f t="shared" si="283"/>
        <v>2.487414214408189E-3</v>
      </c>
      <c r="BK187" s="463">
        <f t="shared" si="284"/>
        <v>7.9798476721350802E-3</v>
      </c>
      <c r="BL187">
        <f t="shared" si="285"/>
        <v>3.7699999999999999E-3</v>
      </c>
      <c r="BM187">
        <f t="shared" si="329"/>
        <v>3.979862743053102E-6</v>
      </c>
      <c r="BN187">
        <f t="shared" si="330"/>
        <v>7.6061325647484385E-2</v>
      </c>
      <c r="BO187" s="147">
        <f t="shared" si="286"/>
        <v>70.780109440917954</v>
      </c>
      <c r="BP187" s="153">
        <f t="shared" si="287"/>
        <v>3.0800000000000008E-2</v>
      </c>
      <c r="BQ187" s="153">
        <f t="shared" si="288"/>
        <v>3.0800000000000008E-2</v>
      </c>
      <c r="BR187" s="463"/>
      <c r="BT187" s="147">
        <f t="shared" si="289"/>
        <v>61.600000000000016</v>
      </c>
      <c r="BU187" s="463">
        <f t="shared" si="290"/>
        <v>0.1011707896821792</v>
      </c>
      <c r="BV187" s="463">
        <f t="shared" si="291"/>
        <v>8.6329210317820787E-2</v>
      </c>
      <c r="BW187" s="463">
        <f t="shared" si="292"/>
        <v>4.3277527557130388E-3</v>
      </c>
      <c r="BX187" s="463">
        <f t="shared" si="293"/>
        <v>0</v>
      </c>
      <c r="BY187" s="463">
        <f t="shared" si="274"/>
        <v>0.21819556020442168</v>
      </c>
      <c r="BZ187" s="463">
        <f t="shared" si="250"/>
        <v>0.19182775275571304</v>
      </c>
      <c r="CA187" s="549">
        <f t="shared" si="331"/>
        <v>5.5966819824184263E-2</v>
      </c>
      <c r="CB187" s="147">
        <f t="shared" si="294"/>
        <v>657.81788554003208</v>
      </c>
      <c r="CC187" s="153">
        <f t="shared" si="251"/>
        <v>0.41182370567609039</v>
      </c>
      <c r="CD187" s="5">
        <f t="shared" si="295"/>
        <v>2.3870000000000005</v>
      </c>
      <c r="CE187" s="153">
        <f t="shared" si="296"/>
        <v>0.85285829013063563</v>
      </c>
      <c r="CF187" s="5">
        <f t="shared" si="297"/>
        <v>85.285829013063562</v>
      </c>
      <c r="CG187">
        <f t="shared" si="298"/>
        <v>77.000000000000014</v>
      </c>
      <c r="CI187" s="59">
        <f t="shared" si="332"/>
        <v>198.99313715265509</v>
      </c>
      <c r="CJ187">
        <f t="shared" si="333"/>
        <v>3.1386423679777957</v>
      </c>
    </row>
    <row r="188" spans="5:88" x14ac:dyDescent="0.25">
      <c r="E188" s="150">
        <v>78</v>
      </c>
      <c r="F188" s="191">
        <f t="shared" si="334"/>
        <v>7.8000000000000014E-2</v>
      </c>
      <c r="G188" s="191">
        <f t="shared" si="299"/>
        <v>7.8000000000000014E-2</v>
      </c>
      <c r="H188" s="191">
        <f t="shared" si="300"/>
        <v>1.1700000000000002</v>
      </c>
      <c r="I188" s="191">
        <f t="shared" si="301"/>
        <v>1.2480000000000002</v>
      </c>
      <c r="J188" s="472">
        <f t="shared" si="302"/>
        <v>13</v>
      </c>
      <c r="K188" s="386">
        <f t="shared" si="303"/>
        <v>15.043721979223619</v>
      </c>
      <c r="L188" s="386">
        <f t="shared" si="304"/>
        <v>28.32</v>
      </c>
      <c r="M188" s="386"/>
      <c r="N188" s="191">
        <f t="shared" si="305"/>
        <v>0.54096045197740117</v>
      </c>
      <c r="O188" s="152">
        <f t="shared" si="306"/>
        <v>1.1484503143794424</v>
      </c>
      <c r="P188" s="152">
        <f t="shared" si="307"/>
        <v>2.5316949152542376</v>
      </c>
      <c r="Q188" s="191">
        <f t="shared" si="308"/>
        <v>7.6563354291962829E-2</v>
      </c>
      <c r="R188" s="191">
        <f t="shared" si="309"/>
        <v>7.1778144648715153E-2</v>
      </c>
      <c r="S188" s="191">
        <f t="shared" si="310"/>
        <v>14.723721979223619</v>
      </c>
      <c r="T188" s="191">
        <f t="shared" si="311"/>
        <v>0.75</v>
      </c>
      <c r="U188" s="191">
        <f t="shared" si="312"/>
        <v>2.7115384615384612</v>
      </c>
      <c r="V188" s="191">
        <f t="shared" si="313"/>
        <v>2.3431701309478195</v>
      </c>
      <c r="W188" s="175">
        <f t="shared" si="314"/>
        <v>350</v>
      </c>
      <c r="X188" s="386">
        <f t="shared" si="315"/>
        <v>197.83534138574859</v>
      </c>
      <c r="Z188" s="191">
        <f t="shared" si="316"/>
        <v>0.42393287439803257</v>
      </c>
      <c r="AA188" s="153">
        <f t="shared" si="317"/>
        <v>1.3244624650884314</v>
      </c>
      <c r="AB188" s="153">
        <f t="shared" si="318"/>
        <v>4.754494668146006E-2</v>
      </c>
      <c r="AC188" s="153"/>
      <c r="AD188" s="153">
        <f t="shared" si="319"/>
        <v>0.4686340261895639</v>
      </c>
      <c r="AE188" s="317">
        <f t="shared" si="320"/>
        <v>2219.2157245946905</v>
      </c>
      <c r="AF188" s="463">
        <f t="shared" si="321"/>
        <v>1.2301643187476051E-2</v>
      </c>
      <c r="AH188" s="153">
        <f t="shared" si="322"/>
        <v>0.54220085108558536</v>
      </c>
      <c r="AI188" s="153">
        <f t="shared" si="323"/>
        <v>0.75</v>
      </c>
      <c r="AJ188" s="153">
        <f t="shared" si="324"/>
        <v>1.6444444444444444</v>
      </c>
      <c r="AL188" s="317">
        <f t="shared" si="325"/>
        <v>78.000000000000014</v>
      </c>
      <c r="AM188" s="147">
        <f t="shared" si="326"/>
        <v>197.83534138574859</v>
      </c>
      <c r="AO188" t="str">
        <f t="shared" si="327"/>
        <v/>
      </c>
      <c r="AP188" t="str">
        <f t="shared" si="328"/>
        <v/>
      </c>
      <c r="AR188" s="5">
        <f t="shared" si="249"/>
        <v>5.0547085924862802</v>
      </c>
      <c r="AS188" s="5">
        <f t="shared" si="335"/>
        <v>2.7115384615384612</v>
      </c>
      <c r="AT188" s="5">
        <f t="shared" si="336"/>
        <v>2.343170130947819</v>
      </c>
      <c r="AU188" s="153">
        <f t="shared" si="337"/>
        <v>0.53643813721904898</v>
      </c>
      <c r="AW188" s="5">
        <f t="shared" si="275"/>
        <v>1.4100000000000001</v>
      </c>
      <c r="AX188" s="5"/>
      <c r="AY188" s="5">
        <f t="shared" si="276"/>
        <v>1.3218750000000001</v>
      </c>
      <c r="AZ188" s="5"/>
      <c r="BA188" s="5">
        <f t="shared" si="277"/>
        <v>0.31242268412637592</v>
      </c>
      <c r="BB188" s="5"/>
      <c r="BC188" s="5"/>
      <c r="BD188" s="153">
        <f t="shared" si="278"/>
        <v>0.31714689140613012</v>
      </c>
      <c r="BE188" s="153">
        <f t="shared" si="279"/>
        <v>0.29481833265831403</v>
      </c>
      <c r="BF188" s="153">
        <f t="shared" si="280"/>
        <v>0.29520371609969748</v>
      </c>
      <c r="BG188" s="153"/>
      <c r="BH188" s="463">
        <f t="shared" si="281"/>
        <v>3.5203752755000088E-2</v>
      </c>
      <c r="BI188" s="463">
        <f t="shared" si="282"/>
        <v>2.1010113255166506E-2</v>
      </c>
      <c r="BJ188" s="463">
        <f t="shared" si="283"/>
        <v>2.4729417673218573E-3</v>
      </c>
      <c r="BK188" s="463">
        <f t="shared" si="284"/>
        <v>7.9334187651508709E-3</v>
      </c>
      <c r="BL188">
        <f t="shared" si="285"/>
        <v>3.7699999999999999E-3</v>
      </c>
      <c r="BM188">
        <f t="shared" si="329"/>
        <v>3.9567068277149721E-6</v>
      </c>
      <c r="BN188">
        <f t="shared" si="330"/>
        <v>7.563796544463966E-2</v>
      </c>
      <c r="BO188" s="147">
        <f t="shared" si="286"/>
        <v>70.390226542639326</v>
      </c>
      <c r="BP188" s="153">
        <f t="shared" si="287"/>
        <v>3.1200000000000006E-2</v>
      </c>
      <c r="BQ188" s="153">
        <f t="shared" si="288"/>
        <v>3.1200000000000006E-2</v>
      </c>
      <c r="BR188" s="463"/>
      <c r="BT188" s="147">
        <f t="shared" si="289"/>
        <v>62.400000000000013</v>
      </c>
      <c r="BU188" s="463">
        <f t="shared" si="290"/>
        <v>0.10058215072857168</v>
      </c>
      <c r="BV188" s="463">
        <f t="shared" si="291"/>
        <v>8.6917849271428316E-2</v>
      </c>
      <c r="BW188" s="463">
        <f t="shared" si="292"/>
        <v>4.3572616999535399E-3</v>
      </c>
      <c r="BX188" s="463">
        <f t="shared" si="293"/>
        <v>0</v>
      </c>
      <c r="BY188" s="463">
        <f t="shared" si="274"/>
        <v>0.21822964852699867</v>
      </c>
      <c r="BZ188" s="463">
        <f t="shared" si="250"/>
        <v>0.19185726169995354</v>
      </c>
      <c r="CA188" s="549">
        <f t="shared" si="331"/>
        <v>5.5641189764741798E-2</v>
      </c>
      <c r="CB188" s="147">
        <f t="shared" si="294"/>
        <v>657.58536169164745</v>
      </c>
      <c r="CC188" s="153">
        <f t="shared" si="251"/>
        <v>0.41190880373638011</v>
      </c>
      <c r="CD188" s="5">
        <f t="shared" si="295"/>
        <v>2.4180000000000001</v>
      </c>
      <c r="CE188" s="153">
        <f t="shared" si="296"/>
        <v>0.85444449545775847</v>
      </c>
      <c r="CF188" s="5">
        <f t="shared" si="297"/>
        <v>85.444449545775853</v>
      </c>
      <c r="CG188">
        <f t="shared" si="298"/>
        <v>78.000000000000014</v>
      </c>
      <c r="CI188" s="59">
        <f t="shared" si="332"/>
        <v>-50</v>
      </c>
      <c r="CJ188">
        <f t="shared" si="333"/>
        <v>-50</v>
      </c>
    </row>
    <row r="189" spans="5:88" x14ac:dyDescent="0.25">
      <c r="E189" s="150">
        <v>79</v>
      </c>
      <c r="F189" s="191">
        <f t="shared" si="334"/>
        <v>7.9000000000000015E-2</v>
      </c>
      <c r="G189" s="191">
        <f t="shared" si="299"/>
        <v>7.9000000000000015E-2</v>
      </c>
      <c r="H189" s="191">
        <f t="shared" si="300"/>
        <v>1.1850000000000003</v>
      </c>
      <c r="I189" s="191">
        <f t="shared" si="301"/>
        <v>1.2640000000000002</v>
      </c>
      <c r="J189" s="472">
        <f t="shared" si="302"/>
        <v>13</v>
      </c>
      <c r="K189" s="386">
        <f t="shared" si="303"/>
        <v>14.85734575163851</v>
      </c>
      <c r="L189" s="386">
        <f t="shared" si="304"/>
        <v>28.32</v>
      </c>
      <c r="M189" s="386"/>
      <c r="N189" s="191">
        <f t="shared" si="305"/>
        <v>0.54096045197740117</v>
      </c>
      <c r="O189" s="152">
        <f t="shared" si="306"/>
        <v>1.1484503143794424</v>
      </c>
      <c r="P189" s="152">
        <f t="shared" si="307"/>
        <v>2.5316949152542376</v>
      </c>
      <c r="Q189" s="191">
        <f t="shared" si="308"/>
        <v>7.6563354291962829E-2</v>
      </c>
      <c r="R189" s="191">
        <f t="shared" si="309"/>
        <v>7.1778144648715153E-2</v>
      </c>
      <c r="S189" s="191">
        <f t="shared" si="310"/>
        <v>14.53734575163851</v>
      </c>
      <c r="T189" s="191">
        <f t="shared" si="311"/>
        <v>0.75</v>
      </c>
      <c r="U189" s="191">
        <f t="shared" si="312"/>
        <v>2.7115384615384612</v>
      </c>
      <c r="V189" s="191">
        <f t="shared" si="313"/>
        <v>2.3725637532607413</v>
      </c>
      <c r="W189" s="175">
        <f t="shared" si="314"/>
        <v>350</v>
      </c>
      <c r="X189" s="386">
        <f t="shared" si="315"/>
        <v>196.69156082053618</v>
      </c>
      <c r="Z189" s="191">
        <f t="shared" si="316"/>
        <v>0.42148191604400603</v>
      </c>
      <c r="AA189" s="153">
        <f t="shared" si="317"/>
        <v>1.3333236222145277</v>
      </c>
      <c r="AB189" s="153">
        <f t="shared" si="318"/>
        <v>4.7586321350612838E-2</v>
      </c>
      <c r="AC189" s="153"/>
      <c r="AD189" s="153">
        <f t="shared" si="319"/>
        <v>0.47451275065214832</v>
      </c>
      <c r="AE189" s="317">
        <f t="shared" si="320"/>
        <v>2219.8209255403171</v>
      </c>
      <c r="AF189" s="463">
        <f t="shared" si="321"/>
        <v>1.245595970461889E-2</v>
      </c>
      <c r="AH189" s="153">
        <f t="shared" si="322"/>
        <v>0.54566542851679689</v>
      </c>
      <c r="AI189" s="153">
        <f t="shared" si="323"/>
        <v>0.75</v>
      </c>
      <c r="AJ189" s="153">
        <f t="shared" si="324"/>
        <v>1.6444444444444444</v>
      </c>
      <c r="AL189" s="317">
        <f t="shared" si="325"/>
        <v>79.000000000000014</v>
      </c>
      <c r="AM189" s="147">
        <f t="shared" si="326"/>
        <v>196.69156082053618</v>
      </c>
      <c r="AO189" t="str">
        <f t="shared" si="327"/>
        <v/>
      </c>
      <c r="AP189" t="str">
        <f t="shared" si="328"/>
        <v/>
      </c>
      <c r="AR189" s="5">
        <f t="shared" si="249"/>
        <v>5.0841022147992021</v>
      </c>
      <c r="AS189" s="5">
        <f t="shared" si="335"/>
        <v>2.7115384615384612</v>
      </c>
      <c r="AT189" s="5">
        <f t="shared" si="336"/>
        <v>2.3725637532607409</v>
      </c>
      <c r="AU189" s="153">
        <f t="shared" si="337"/>
        <v>0.5333367322249154</v>
      </c>
      <c r="AW189" s="5">
        <f t="shared" si="275"/>
        <v>1.4280769230769232</v>
      </c>
      <c r="AX189" s="5"/>
      <c r="AY189" s="5">
        <f t="shared" si="276"/>
        <v>1.3388221153846154</v>
      </c>
      <c r="AZ189" s="5"/>
      <c r="BA189" s="5">
        <f t="shared" si="277"/>
        <v>0.32039749830358727</v>
      </c>
      <c r="BB189" s="5"/>
      <c r="BC189" s="5"/>
      <c r="BD189" s="153">
        <f t="shared" si="278"/>
        <v>0.31622877366263119</v>
      </c>
      <c r="BE189" s="153">
        <f t="shared" si="279"/>
        <v>0.29580291193263863</v>
      </c>
      <c r="BF189" s="153">
        <f t="shared" si="280"/>
        <v>0.29618958240575322</v>
      </c>
      <c r="BG189" s="153"/>
      <c r="BH189" s="463">
        <f t="shared" si="281"/>
        <v>3.5000223052260068E-2</v>
      </c>
      <c r="BI189" s="463">
        <f t="shared" si="282"/>
        <v>2.0888643759140946E-2</v>
      </c>
      <c r="BJ189" s="463">
        <f t="shared" si="283"/>
        <v>2.4586445102567022E-3</v>
      </c>
      <c r="BK189" s="463">
        <f t="shared" si="284"/>
        <v>7.8875518834516205E-3</v>
      </c>
      <c r="BL189">
        <f t="shared" si="285"/>
        <v>3.7699999999999999E-3</v>
      </c>
      <c r="BM189">
        <f t="shared" si="329"/>
        <v>3.9338312164107238E-6</v>
      </c>
      <c r="BN189">
        <f t="shared" si="330"/>
        <v>7.5219761856096135E-2</v>
      </c>
      <c r="BO189" s="147">
        <f t="shared" si="286"/>
        <v>70.005063205109323</v>
      </c>
      <c r="BP189" s="153">
        <f t="shared" si="287"/>
        <v>3.160000000000001E-2</v>
      </c>
      <c r="BQ189" s="153">
        <f t="shared" si="288"/>
        <v>3.160000000000001E-2</v>
      </c>
      <c r="BR189" s="463"/>
      <c r="BT189" s="147">
        <f t="shared" si="289"/>
        <v>63.200000000000017</v>
      </c>
      <c r="BU189" s="463">
        <f t="shared" si="290"/>
        <v>0.10000063729217162</v>
      </c>
      <c r="BV189" s="463">
        <f t="shared" si="291"/>
        <v>8.7499362707828363E-2</v>
      </c>
      <c r="BW189" s="463">
        <f t="shared" si="292"/>
        <v>4.3864134362847241E-3</v>
      </c>
      <c r="BX189" s="463">
        <f t="shared" si="293"/>
        <v>0</v>
      </c>
      <c r="BY189" s="463">
        <f t="shared" si="274"/>
        <v>0.21826332436845844</v>
      </c>
      <c r="BZ189" s="463">
        <f t="shared" si="250"/>
        <v>0.19188641343628474</v>
      </c>
      <c r="CA189" s="549">
        <f t="shared" si="331"/>
        <v>5.5319501480775815E-2</v>
      </c>
      <c r="CB189" s="147">
        <f t="shared" si="294"/>
        <v>657.35565272180372</v>
      </c>
      <c r="CC189" s="153">
        <f t="shared" si="251"/>
        <v>0.41200258770533038</v>
      </c>
      <c r="CD189" s="5">
        <f t="shared" si="295"/>
        <v>2.4490000000000007</v>
      </c>
      <c r="CE189" s="153">
        <f t="shared" si="296"/>
        <v>0.85599363332426159</v>
      </c>
      <c r="CF189" s="5">
        <f t="shared" si="297"/>
        <v>85.599363332426165</v>
      </c>
      <c r="CG189">
        <f t="shared" si="298"/>
        <v>79.000000000000014</v>
      </c>
      <c r="CI189" s="59">
        <f t="shared" si="332"/>
        <v>-50</v>
      </c>
      <c r="CJ189">
        <f t="shared" si="333"/>
        <v>-50</v>
      </c>
    </row>
    <row r="190" spans="5:88" x14ac:dyDescent="0.25">
      <c r="E190" s="150">
        <v>80</v>
      </c>
      <c r="F190" s="191">
        <f t="shared" si="334"/>
        <v>8.0000000000000016E-2</v>
      </c>
      <c r="G190" s="191">
        <f t="shared" si="299"/>
        <v>8.0000000000000016E-2</v>
      </c>
      <c r="H190" s="191">
        <f t="shared" si="300"/>
        <v>1.2000000000000002</v>
      </c>
      <c r="I190" s="191">
        <f t="shared" si="301"/>
        <v>1.2800000000000002</v>
      </c>
      <c r="J190" s="472">
        <f t="shared" si="302"/>
        <v>13</v>
      </c>
      <c r="K190" s="386">
        <f t="shared" si="303"/>
        <v>14.675628929743029</v>
      </c>
      <c r="L190" s="386">
        <f t="shared" si="304"/>
        <v>28.32</v>
      </c>
      <c r="M190" s="386"/>
      <c r="N190" s="191">
        <f t="shared" si="305"/>
        <v>0.54096045197740117</v>
      </c>
      <c r="O190" s="152">
        <f t="shared" si="306"/>
        <v>1.1484503143794424</v>
      </c>
      <c r="P190" s="152">
        <f t="shared" si="307"/>
        <v>2.5316949152542376</v>
      </c>
      <c r="Q190" s="191">
        <f t="shared" si="308"/>
        <v>7.6563354291962829E-2</v>
      </c>
      <c r="R190" s="191">
        <f t="shared" si="309"/>
        <v>7.1778144648715153E-2</v>
      </c>
      <c r="S190" s="191">
        <f t="shared" si="310"/>
        <v>14.355628929743029</v>
      </c>
      <c r="T190" s="191">
        <f t="shared" si="311"/>
        <v>0.75</v>
      </c>
      <c r="U190" s="191">
        <f t="shared" si="312"/>
        <v>2.7115384615384612</v>
      </c>
      <c r="V190" s="191">
        <f t="shared" si="313"/>
        <v>2.4019413524798914</v>
      </c>
      <c r="W190" s="175">
        <f t="shared" si="314"/>
        <v>350</v>
      </c>
      <c r="X190" s="386">
        <f t="shared" si="315"/>
        <v>195.56154250546746</v>
      </c>
      <c r="Z190" s="191">
        <f t="shared" si="316"/>
        <v>0.41906044822600158</v>
      </c>
      <c r="AA190" s="153">
        <f t="shared" si="317"/>
        <v>1.3420781597103892</v>
      </c>
      <c r="AB190" s="153">
        <f t="shared" si="318"/>
        <v>4.7623586203281547E-2</v>
      </c>
      <c r="AC190" s="153"/>
      <c r="AD190" s="153">
        <f t="shared" si="319"/>
        <v>0.48038827049597832</v>
      </c>
      <c r="AE190" s="317">
        <f t="shared" si="320"/>
        <v>2220.4261264859433</v>
      </c>
      <c r="AF190" s="463">
        <f t="shared" si="321"/>
        <v>1.2610192100519431E-2</v>
      </c>
      <c r="AH190" s="153">
        <f t="shared" si="322"/>
        <v>0.54910814676064124</v>
      </c>
      <c r="AI190" s="153">
        <f t="shared" si="323"/>
        <v>0.75</v>
      </c>
      <c r="AJ190" s="153">
        <f t="shared" si="324"/>
        <v>1.6444444444444444</v>
      </c>
      <c r="AL190" s="317">
        <f t="shared" si="325"/>
        <v>80.000000000000014</v>
      </c>
      <c r="AM190" s="147">
        <f t="shared" si="326"/>
        <v>195.56154250546746</v>
      </c>
      <c r="AO190" t="str">
        <f t="shared" si="327"/>
        <v/>
      </c>
      <c r="AP190" t="str">
        <f t="shared" si="328"/>
        <v/>
      </c>
      <c r="AR190" s="5">
        <f t="shared" si="249"/>
        <v>5.1134798140183531</v>
      </c>
      <c r="AS190" s="5">
        <f t="shared" si="335"/>
        <v>2.7115384615384612</v>
      </c>
      <c r="AT190" s="5">
        <f t="shared" si="336"/>
        <v>2.4019413524798918</v>
      </c>
      <c r="AU190" s="153">
        <f t="shared" si="337"/>
        <v>0.53027264410136365</v>
      </c>
      <c r="AW190" s="5">
        <f t="shared" si="275"/>
        <v>1.4461538461538463</v>
      </c>
      <c r="AX190" s="5"/>
      <c r="AY190" s="5">
        <f t="shared" si="276"/>
        <v>1.3557692307692308</v>
      </c>
      <c r="AZ190" s="5"/>
      <c r="BA190" s="5">
        <f t="shared" si="277"/>
        <v>0.32847061230494251</v>
      </c>
      <c r="BB190" s="5"/>
      <c r="BC190" s="5"/>
      <c r="BD190" s="153">
        <f t="shared" si="278"/>
        <v>0.31531907771177703</v>
      </c>
      <c r="BE190" s="153">
        <f t="shared" si="279"/>
        <v>0.29677243677773429</v>
      </c>
      <c r="BF190" s="153">
        <f t="shared" si="280"/>
        <v>0.29716037460358757</v>
      </c>
      <c r="BG190" s="153"/>
      <c r="BH190" s="463">
        <f t="shared" si="281"/>
        <v>3.4799142269151991E-2</v>
      </c>
      <c r="BI190" s="463">
        <f t="shared" si="282"/>
        <v>2.0768635814080644E-2</v>
      </c>
      <c r="BJ190" s="463">
        <f t="shared" si="283"/>
        <v>2.4445192813183428E-3</v>
      </c>
      <c r="BK190" s="463">
        <f t="shared" si="284"/>
        <v>7.8422368833968512E-3</v>
      </c>
      <c r="BL190">
        <f t="shared" si="285"/>
        <v>3.7699999999999999E-3</v>
      </c>
      <c r="BM190">
        <f t="shared" si="329"/>
        <v>3.9112308501093492E-6</v>
      </c>
      <c r="BN190">
        <f t="shared" si="330"/>
        <v>7.4806621239213791E-2</v>
      </c>
      <c r="BO190" s="147">
        <f t="shared" si="286"/>
        <v>69.624534247947821</v>
      </c>
      <c r="BP190" s="153">
        <f t="shared" si="287"/>
        <v>3.2000000000000008E-2</v>
      </c>
      <c r="BQ190" s="153">
        <f t="shared" si="288"/>
        <v>3.2000000000000008E-2</v>
      </c>
      <c r="BR190" s="463"/>
      <c r="BT190" s="147">
        <f t="shared" si="289"/>
        <v>64.000000000000014</v>
      </c>
      <c r="BU190" s="463">
        <f t="shared" si="290"/>
        <v>9.9426120769005685E-2</v>
      </c>
      <c r="BV190" s="463">
        <f t="shared" si="291"/>
        <v>8.8073879230994301E-2</v>
      </c>
      <c r="BW190" s="463">
        <f t="shared" si="292"/>
        <v>4.415214411727225E-3</v>
      </c>
      <c r="BX190" s="463">
        <f t="shared" si="293"/>
        <v>0</v>
      </c>
      <c r="BY190" s="463">
        <f t="shared" si="274"/>
        <v>0.21829659517053476</v>
      </c>
      <c r="BZ190" s="463">
        <f t="shared" si="250"/>
        <v>0.19191521441172724</v>
      </c>
      <c r="CA190" s="549">
        <f t="shared" si="331"/>
        <v>5.500168382966273E-2</v>
      </c>
      <c r="CB190" s="147">
        <f t="shared" si="294"/>
        <v>657.12870782365201</v>
      </c>
      <c r="CC190" s="153">
        <f t="shared" si="251"/>
        <v>0.41210490023941132</v>
      </c>
      <c r="CD190" s="5">
        <f t="shared" si="295"/>
        <v>2.4800000000000004</v>
      </c>
      <c r="CE190" s="153">
        <f t="shared" si="296"/>
        <v>0.85750693199084971</v>
      </c>
      <c r="CF190" s="5">
        <f t="shared" si="297"/>
        <v>85.750693199084964</v>
      </c>
      <c r="CG190">
        <f t="shared" si="298"/>
        <v>80.000000000000014</v>
      </c>
      <c r="CI190" s="59">
        <f t="shared" si="332"/>
        <v>-50</v>
      </c>
      <c r="CJ190">
        <f t="shared" si="333"/>
        <v>-50</v>
      </c>
    </row>
    <row r="191" spans="5:88" x14ac:dyDescent="0.25">
      <c r="E191" s="150">
        <v>81</v>
      </c>
      <c r="F191" s="191">
        <f t="shared" si="334"/>
        <v>8.1000000000000016E-2</v>
      </c>
      <c r="G191" s="191">
        <f t="shared" si="299"/>
        <v>8.1000000000000016E-2</v>
      </c>
      <c r="H191" s="191">
        <f t="shared" si="300"/>
        <v>1.2150000000000003</v>
      </c>
      <c r="I191" s="191">
        <f t="shared" si="301"/>
        <v>1.2960000000000003</v>
      </c>
      <c r="J191" s="472">
        <f t="shared" si="302"/>
        <v>13</v>
      </c>
      <c r="K191" s="386">
        <f t="shared" si="303"/>
        <v>14.498398942956078</v>
      </c>
      <c r="L191" s="386">
        <f t="shared" si="304"/>
        <v>28.32</v>
      </c>
      <c r="M191" s="386"/>
      <c r="N191" s="191">
        <f t="shared" si="305"/>
        <v>0.54096045197740117</v>
      </c>
      <c r="O191" s="152">
        <f t="shared" si="306"/>
        <v>1.1484503143794424</v>
      </c>
      <c r="P191" s="152">
        <f t="shared" si="307"/>
        <v>2.5316949152542376</v>
      </c>
      <c r="Q191" s="191">
        <f t="shared" si="308"/>
        <v>7.6563354291962829E-2</v>
      </c>
      <c r="R191" s="191">
        <f t="shared" si="309"/>
        <v>7.1778144648715153E-2</v>
      </c>
      <c r="S191" s="191">
        <f t="shared" si="310"/>
        <v>14.178398942956077</v>
      </c>
      <c r="T191" s="191">
        <f t="shared" si="311"/>
        <v>0.75</v>
      </c>
      <c r="U191" s="191">
        <f t="shared" si="312"/>
        <v>2.7115384615384612</v>
      </c>
      <c r="V191" s="191">
        <f t="shared" si="313"/>
        <v>2.4313029417034979</v>
      </c>
      <c r="W191" s="175">
        <f t="shared" si="314"/>
        <v>350</v>
      </c>
      <c r="X191" s="386">
        <f t="shared" si="315"/>
        <v>194.445039539741</v>
      </c>
      <c r="Z191" s="191">
        <f t="shared" si="316"/>
        <v>0.41666794187087358</v>
      </c>
      <c r="AA191" s="153">
        <f t="shared" si="317"/>
        <v>1.3507279903789295</v>
      </c>
      <c r="AB191" s="153">
        <f t="shared" si="318"/>
        <v>4.7656879384475652E-2</v>
      </c>
      <c r="AC191" s="153"/>
      <c r="AD191" s="153">
        <f t="shared" si="319"/>
        <v>0.48626058834069963</v>
      </c>
      <c r="AE191" s="317">
        <f t="shared" si="320"/>
        <v>2221.0313274315704</v>
      </c>
      <c r="AF191" s="463">
        <f t="shared" si="321"/>
        <v>1.2764340443943362E-2</v>
      </c>
      <c r="AH191" s="153">
        <f t="shared" si="322"/>
        <v>0.55252941442007608</v>
      </c>
      <c r="AI191" s="153">
        <f t="shared" si="323"/>
        <v>0.75</v>
      </c>
      <c r="AJ191" s="153">
        <f t="shared" si="324"/>
        <v>1.6444444444444444</v>
      </c>
      <c r="AL191" s="317">
        <f t="shared" si="325"/>
        <v>81.000000000000014</v>
      </c>
      <c r="AM191" s="147">
        <f t="shared" si="326"/>
        <v>194.445039539741</v>
      </c>
      <c r="AO191" t="str">
        <f t="shared" si="327"/>
        <v/>
      </c>
      <c r="AP191" t="str">
        <f t="shared" si="328"/>
        <v/>
      </c>
      <c r="AR191" s="5">
        <f t="shared" si="249"/>
        <v>5.1428414032419605</v>
      </c>
      <c r="AS191" s="5">
        <f t="shared" si="335"/>
        <v>2.7115384615384612</v>
      </c>
      <c r="AT191" s="5">
        <f t="shared" si="336"/>
        <v>2.4313029417034993</v>
      </c>
      <c r="AU191" s="153">
        <f t="shared" si="337"/>
        <v>0.52724520336737457</v>
      </c>
      <c r="AW191" s="5">
        <f t="shared" si="275"/>
        <v>1.4642307692307692</v>
      </c>
      <c r="AX191" s="5"/>
      <c r="AY191" s="5">
        <f t="shared" si="276"/>
        <v>1.3727163461538463</v>
      </c>
      <c r="AZ191" s="5"/>
      <c r="BA191" s="5">
        <f t="shared" si="277"/>
        <v>0.33664194577433076</v>
      </c>
      <c r="BB191" s="5"/>
      <c r="BC191" s="5"/>
      <c r="BD191" s="153">
        <f t="shared" si="278"/>
        <v>0.31441767703388229</v>
      </c>
      <c r="BE191" s="153">
        <f t="shared" si="279"/>
        <v>0.29772726507429126</v>
      </c>
      <c r="BF191" s="153">
        <f t="shared" si="280"/>
        <v>0.29811645104170859</v>
      </c>
      <c r="BG191" s="153"/>
      <c r="BH191" s="463">
        <f t="shared" si="281"/>
        <v>3.460046647098395E-2</v>
      </c>
      <c r="BI191" s="463">
        <f t="shared" si="282"/>
        <v>2.0650063199120494E-2</v>
      </c>
      <c r="BJ191" s="463">
        <f t="shared" si="283"/>
        <v>2.4305629942467624E-3</v>
      </c>
      <c r="BK191" s="463">
        <f t="shared" si="284"/>
        <v>7.7974638639878987E-3</v>
      </c>
      <c r="BL191">
        <f t="shared" si="285"/>
        <v>3.7699999999999999E-3</v>
      </c>
      <c r="BM191">
        <f t="shared" si="329"/>
        <v>3.88890079079482E-6</v>
      </c>
      <c r="BN191">
        <f t="shared" si="330"/>
        <v>7.4398452205074975E-2</v>
      </c>
      <c r="BO191" s="147">
        <f t="shared" si="286"/>
        <v>69.248556528339094</v>
      </c>
      <c r="BP191" s="153">
        <f t="shared" si="287"/>
        <v>3.2400000000000005E-2</v>
      </c>
      <c r="BQ191" s="153">
        <f t="shared" si="288"/>
        <v>3.2400000000000005E-2</v>
      </c>
      <c r="BR191" s="463"/>
      <c r="BT191" s="147">
        <f t="shared" si="289"/>
        <v>64.800000000000011</v>
      </c>
      <c r="BU191" s="463">
        <f t="shared" si="290"/>
        <v>9.8858475631382711E-2</v>
      </c>
      <c r="BV191" s="463">
        <f t="shared" si="291"/>
        <v>8.8641524368617289E-2</v>
      </c>
      <c r="BW191" s="463">
        <f t="shared" si="292"/>
        <v>4.4436709190851719E-3</v>
      </c>
      <c r="BX191" s="463">
        <f t="shared" si="293"/>
        <v>0</v>
      </c>
      <c r="BY191" s="463">
        <f t="shared" si="274"/>
        <v>0.21832946819701923</v>
      </c>
      <c r="BZ191" s="463">
        <f t="shared" si="250"/>
        <v>0.19194367091908518</v>
      </c>
      <c r="CA191" s="549">
        <f t="shared" si="331"/>
        <v>5.4687667370552175E-2</v>
      </c>
      <c r="CB191" s="147">
        <f t="shared" si="294"/>
        <v>656.90447740574177</v>
      </c>
      <c r="CC191" s="153">
        <f t="shared" si="251"/>
        <v>0.41221558777264644</v>
      </c>
      <c r="CD191" s="5">
        <f t="shared" si="295"/>
        <v>2.5110000000000006</v>
      </c>
      <c r="CE191" s="153">
        <f t="shared" si="296"/>
        <v>0.85898556729894315</v>
      </c>
      <c r="CF191" s="5">
        <f t="shared" si="297"/>
        <v>85.89855672989431</v>
      </c>
      <c r="CG191">
        <f t="shared" si="298"/>
        <v>81.000000000000014</v>
      </c>
      <c r="CI191" s="59">
        <f t="shared" si="332"/>
        <v>-50</v>
      </c>
      <c r="CJ191">
        <f t="shared" si="333"/>
        <v>-50</v>
      </c>
    </row>
    <row r="192" spans="5:88" x14ac:dyDescent="0.25">
      <c r="E192" s="150">
        <v>82</v>
      </c>
      <c r="F192" s="191">
        <f t="shared" si="334"/>
        <v>8.2000000000000003E-2</v>
      </c>
      <c r="G192" s="191">
        <f t="shared" si="299"/>
        <v>8.2000000000000003E-2</v>
      </c>
      <c r="H192" s="191">
        <f t="shared" si="300"/>
        <v>1.23</v>
      </c>
      <c r="I192" s="191">
        <f t="shared" si="301"/>
        <v>1.3120000000000001</v>
      </c>
      <c r="J192" s="472">
        <f t="shared" si="302"/>
        <v>13</v>
      </c>
      <c r="K192" s="386">
        <f t="shared" si="303"/>
        <v>14.325491638773688</v>
      </c>
      <c r="L192" s="386">
        <f t="shared" si="304"/>
        <v>28.32</v>
      </c>
      <c r="M192" s="386"/>
      <c r="N192" s="191">
        <f t="shared" si="305"/>
        <v>0.54096045197740117</v>
      </c>
      <c r="O192" s="152">
        <f t="shared" si="306"/>
        <v>1.1484503143794424</v>
      </c>
      <c r="P192" s="152">
        <f t="shared" si="307"/>
        <v>2.5316949152542376</v>
      </c>
      <c r="Q192" s="191">
        <f t="shared" si="308"/>
        <v>7.6563354291962829E-2</v>
      </c>
      <c r="R192" s="191">
        <f t="shared" si="309"/>
        <v>7.1778144648715153E-2</v>
      </c>
      <c r="S192" s="191">
        <f t="shared" si="310"/>
        <v>14.005491638773687</v>
      </c>
      <c r="T192" s="191">
        <f t="shared" si="311"/>
        <v>0.75</v>
      </c>
      <c r="U192" s="191">
        <f t="shared" si="312"/>
        <v>2.7115384615384612</v>
      </c>
      <c r="V192" s="191">
        <f t="shared" si="313"/>
        <v>2.4606485340155153</v>
      </c>
      <c r="W192" s="175">
        <f t="shared" si="314"/>
        <v>350</v>
      </c>
      <c r="X192" s="386">
        <f t="shared" si="315"/>
        <v>193.34181089345807</v>
      </c>
      <c r="Z192" s="191">
        <f t="shared" si="316"/>
        <v>0.41430388048598149</v>
      </c>
      <c r="AA192" s="153">
        <f t="shared" si="317"/>
        <v>1.3592749815396927</v>
      </c>
      <c r="AB192" s="153">
        <f t="shared" si="318"/>
        <v>4.7686334231804489E-2</v>
      </c>
      <c r="AC192" s="153"/>
      <c r="AD192" s="153">
        <f t="shared" si="319"/>
        <v>0.49212970680310308</v>
      </c>
      <c r="AE192" s="317">
        <f t="shared" si="320"/>
        <v>2221.6365283771961</v>
      </c>
      <c r="AF192" s="463">
        <f t="shared" si="321"/>
        <v>1.2918404803581456E-2</v>
      </c>
      <c r="AH192" s="153">
        <f t="shared" si="322"/>
        <v>0.55592962752481401</v>
      </c>
      <c r="AI192" s="153">
        <f t="shared" si="323"/>
        <v>0.75</v>
      </c>
      <c r="AJ192" s="153">
        <f t="shared" si="324"/>
        <v>1.6444444444444444</v>
      </c>
      <c r="AL192" s="317">
        <f t="shared" si="325"/>
        <v>82</v>
      </c>
      <c r="AM192" s="147">
        <f t="shared" si="326"/>
        <v>193.34181089345807</v>
      </c>
      <c r="AO192" t="str">
        <f t="shared" si="327"/>
        <v/>
      </c>
      <c r="AP192" t="str">
        <f t="shared" si="328"/>
        <v/>
      </c>
      <c r="AR192" s="5">
        <f t="shared" si="249"/>
        <v>5.172186995553977</v>
      </c>
      <c r="AS192" s="5">
        <f t="shared" si="335"/>
        <v>2.7115384615384612</v>
      </c>
      <c r="AT192" s="5">
        <f t="shared" si="336"/>
        <v>2.4606485340155158</v>
      </c>
      <c r="AU192" s="153">
        <f t="shared" si="337"/>
        <v>0.52425375646110739</v>
      </c>
      <c r="AW192" s="5">
        <f t="shared" si="275"/>
        <v>1.4823076923076923</v>
      </c>
      <c r="AX192" s="5"/>
      <c r="AY192" s="5">
        <f t="shared" si="276"/>
        <v>1.3896634615384615</v>
      </c>
      <c r="AZ192" s="5"/>
      <c r="BA192" s="5">
        <f t="shared" si="277"/>
        <v>0.3449114184432005</v>
      </c>
      <c r="BB192" s="5"/>
      <c r="BC192" s="5"/>
      <c r="BD192" s="153">
        <f t="shared" si="278"/>
        <v>0.31352444774922678</v>
      </c>
      <c r="BE192" s="153">
        <f t="shared" si="279"/>
        <v>0.29866774292437803</v>
      </c>
      <c r="BF192" s="153">
        <f t="shared" si="280"/>
        <v>0.29905815827460602</v>
      </c>
      <c r="BG192" s="153"/>
      <c r="BH192" s="463">
        <f t="shared" si="281"/>
        <v>3.4404152767760168E-2</v>
      </c>
      <c r="BI192" s="463">
        <f t="shared" si="282"/>
        <v>2.053290031688525E-2</v>
      </c>
      <c r="BJ192" s="463">
        <f t="shared" si="283"/>
        <v>2.4167726361682259E-3</v>
      </c>
      <c r="BK192" s="463">
        <f t="shared" si="284"/>
        <v>7.7532231596558702E-3</v>
      </c>
      <c r="BL192">
        <f t="shared" si="285"/>
        <v>3.7699999999999999E-3</v>
      </c>
      <c r="BM192">
        <f t="shared" si="329"/>
        <v>3.8668362178691612E-6</v>
      </c>
      <c r="BN192">
        <f t="shared" si="330"/>
        <v>7.3995165551088815E-2</v>
      </c>
      <c r="BO192" s="147">
        <f t="shared" si="286"/>
        <v>68.877048880469516</v>
      </c>
      <c r="BP192" s="153">
        <f t="shared" si="287"/>
        <v>3.2800000000000003E-2</v>
      </c>
      <c r="BQ192" s="153">
        <f t="shared" si="288"/>
        <v>3.2800000000000003E-2</v>
      </c>
      <c r="BR192" s="463"/>
      <c r="BT192" s="147">
        <f t="shared" si="289"/>
        <v>65.600000000000009</v>
      </c>
      <c r="BU192" s="463">
        <f t="shared" si="290"/>
        <v>9.8297579336457636E-2</v>
      </c>
      <c r="BV192" s="463">
        <f t="shared" si="291"/>
        <v>8.9202420663542364E-2</v>
      </c>
      <c r="BW192" s="463">
        <f t="shared" si="292"/>
        <v>4.4717891015299653E-3</v>
      </c>
      <c r="BX192" s="463">
        <f t="shared" si="293"/>
        <v>0</v>
      </c>
      <c r="BY192" s="463">
        <f t="shared" si="274"/>
        <v>0.21836195053904806</v>
      </c>
      <c r="BZ192" s="463">
        <f t="shared" si="250"/>
        <v>0.19197178910152995</v>
      </c>
      <c r="CA192" s="549">
        <f t="shared" si="331"/>
        <v>5.4377384313785089E-2</v>
      </c>
      <c r="CB192" s="147">
        <f t="shared" si="294"/>
        <v>656.6829130558931</v>
      </c>
      <c r="CC192" s="153">
        <f t="shared" si="251"/>
        <v>0.41233450040392194</v>
      </c>
      <c r="CD192" s="5">
        <f t="shared" si="295"/>
        <v>2.5419999999999998</v>
      </c>
      <c r="CE192" s="153">
        <f t="shared" si="296"/>
        <v>0.86043066540110924</v>
      </c>
      <c r="CF192" s="5">
        <f t="shared" si="297"/>
        <v>86.043066540110928</v>
      </c>
      <c r="CG192">
        <f t="shared" si="298"/>
        <v>82</v>
      </c>
      <c r="CI192" s="59">
        <f t="shared" si="332"/>
        <v>-50</v>
      </c>
      <c r="CJ192">
        <f t="shared" si="333"/>
        <v>-50</v>
      </c>
    </row>
    <row r="193" spans="5:88" x14ac:dyDescent="0.25">
      <c r="E193" s="150">
        <v>83</v>
      </c>
      <c r="F193" s="191">
        <f t="shared" si="334"/>
        <v>8.3000000000000004E-2</v>
      </c>
      <c r="G193" s="191">
        <f t="shared" si="299"/>
        <v>8.3000000000000004E-2</v>
      </c>
      <c r="H193" s="191">
        <f t="shared" si="300"/>
        <v>1.2450000000000001</v>
      </c>
      <c r="I193" s="191">
        <f t="shared" si="301"/>
        <v>1.3280000000000001</v>
      </c>
      <c r="J193" s="472">
        <f t="shared" si="302"/>
        <v>13</v>
      </c>
      <c r="K193" s="386">
        <f t="shared" si="303"/>
        <v>14.156750775655933</v>
      </c>
      <c r="L193" s="386">
        <f t="shared" si="304"/>
        <v>28.32</v>
      </c>
      <c r="M193" s="386"/>
      <c r="N193" s="191">
        <f t="shared" si="305"/>
        <v>0.54096045197740117</v>
      </c>
      <c r="O193" s="152">
        <f t="shared" si="306"/>
        <v>1.1484503143794424</v>
      </c>
      <c r="P193" s="152">
        <f t="shared" si="307"/>
        <v>2.5316949152542376</v>
      </c>
      <c r="Q193" s="191">
        <f t="shared" si="308"/>
        <v>7.6563354291962829E-2</v>
      </c>
      <c r="R193" s="191">
        <f t="shared" si="309"/>
        <v>7.1778144648715153E-2</v>
      </c>
      <c r="S193" s="191">
        <f t="shared" si="310"/>
        <v>13.836750775655933</v>
      </c>
      <c r="T193" s="191">
        <f t="shared" si="311"/>
        <v>0.75</v>
      </c>
      <c r="U193" s="191">
        <f t="shared" si="312"/>
        <v>2.7115384615384612</v>
      </c>
      <c r="V193" s="191">
        <f t="shared" si="313"/>
        <v>2.4899781424856466</v>
      </c>
      <c r="W193" s="175">
        <f t="shared" si="314"/>
        <v>350</v>
      </c>
      <c r="X193" s="386">
        <f t="shared" si="315"/>
        <v>192.25162123415288</v>
      </c>
      <c r="Z193" s="191">
        <f t="shared" si="316"/>
        <v>0.41196775978747041</v>
      </c>
      <c r="AA193" s="153">
        <f t="shared" si="317"/>
        <v>1.3677209563727715</v>
      </c>
      <c r="AB193" s="153">
        <f t="shared" si="318"/>
        <v>4.7712079462244393E-2</v>
      </c>
      <c r="AC193" s="153"/>
      <c r="AD193" s="153">
        <f t="shared" si="319"/>
        <v>0.49799562849712931</v>
      </c>
      <c r="AE193" s="317">
        <f t="shared" si="320"/>
        <v>2222.2417293228227</v>
      </c>
      <c r="AF193" s="463">
        <f t="shared" si="321"/>
        <v>1.3072385248049644E-2</v>
      </c>
      <c r="AH193" s="153">
        <f t="shared" si="322"/>
        <v>0.55930917006639969</v>
      </c>
      <c r="AI193" s="153">
        <f t="shared" si="323"/>
        <v>0.75</v>
      </c>
      <c r="AJ193" s="153">
        <f t="shared" si="324"/>
        <v>1.6444444444444444</v>
      </c>
      <c r="AL193" s="317">
        <f t="shared" si="325"/>
        <v>83</v>
      </c>
      <c r="AM193" s="147">
        <f t="shared" si="326"/>
        <v>192.25162123415288</v>
      </c>
      <c r="AO193" t="str">
        <f t="shared" si="327"/>
        <v/>
      </c>
      <c r="AP193" t="str">
        <f t="shared" si="328"/>
        <v/>
      </c>
      <c r="AR193" s="5">
        <f t="shared" si="249"/>
        <v>5.2015166040241079</v>
      </c>
      <c r="AS193" s="5">
        <f t="shared" si="335"/>
        <v>2.7115384615384612</v>
      </c>
      <c r="AT193" s="5">
        <f t="shared" si="336"/>
        <v>2.4899781424856466</v>
      </c>
      <c r="AU193" s="153">
        <f t="shared" si="337"/>
        <v>0.52129766526952992</v>
      </c>
      <c r="AW193" s="5">
        <f t="shared" si="275"/>
        <v>1.5003846153846152</v>
      </c>
      <c r="AX193" s="5"/>
      <c r="AY193" s="5">
        <f t="shared" si="276"/>
        <v>1.4066105769230768</v>
      </c>
      <c r="AZ193" s="5"/>
      <c r="BA193" s="5">
        <f t="shared" si="277"/>
        <v>0.35327895013044225</v>
      </c>
      <c r="BB193" s="5"/>
      <c r="BC193" s="5"/>
      <c r="BD193" s="153">
        <f t="shared" si="278"/>
        <v>0.31263926854769358</v>
      </c>
      <c r="BE193" s="153">
        <f t="shared" si="279"/>
        <v>0.29959420515417706</v>
      </c>
      <c r="BF193" s="153">
        <f t="shared" si="280"/>
        <v>0.29998583156614334</v>
      </c>
      <c r="BG193" s="153"/>
      <c r="BH193" s="463">
        <f t="shared" si="281"/>
        <v>3.4210159283312898E-2</v>
      </c>
      <c r="BI193" s="463">
        <f t="shared" si="282"/>
        <v>2.041712217506704E-2</v>
      </c>
      <c r="BJ193" s="463">
        <f t="shared" si="283"/>
        <v>2.4031452654269111E-3</v>
      </c>
      <c r="BK193" s="463">
        <f t="shared" si="284"/>
        <v>7.7095053333053132E-3</v>
      </c>
      <c r="BL193">
        <f t="shared" si="285"/>
        <v>3.7699999999999999E-3</v>
      </c>
      <c r="BM193">
        <f t="shared" si="329"/>
        <v>3.8450324246830579E-6</v>
      </c>
      <c r="BN193">
        <f t="shared" si="330"/>
        <v>7.3596674195999537E-2</v>
      </c>
      <c r="BO193" s="147">
        <f t="shared" si="286"/>
        <v>68.509932057112152</v>
      </c>
      <c r="BP193" s="153">
        <f t="shared" si="287"/>
        <v>3.32E-2</v>
      </c>
      <c r="BQ193" s="153">
        <f t="shared" si="288"/>
        <v>3.32E-2</v>
      </c>
      <c r="BR193" s="463"/>
      <c r="BT193" s="147">
        <f t="shared" si="289"/>
        <v>66.400000000000006</v>
      </c>
      <c r="BU193" s="463">
        <f t="shared" si="290"/>
        <v>9.7743312238036867E-2</v>
      </c>
      <c r="BV193" s="463">
        <f t="shared" si="291"/>
        <v>8.9756687761963133E-2</v>
      </c>
      <c r="BW193" s="463">
        <f t="shared" si="292"/>
        <v>4.4995749570215264E-3</v>
      </c>
      <c r="BX193" s="463">
        <f t="shared" si="293"/>
        <v>0</v>
      </c>
      <c r="BY193" s="463">
        <f t="shared" si="274"/>
        <v>0.21839404912020186</v>
      </c>
      <c r="BZ193" s="463">
        <f t="shared" si="250"/>
        <v>0.19199957495702152</v>
      </c>
      <c r="CA193" s="549">
        <f t="shared" si="331"/>
        <v>5.4070768472105506E-2</v>
      </c>
      <c r="CB193" s="147">
        <f t="shared" ref="CB193:CB210" si="338">SUM(BU193:CA193)*1000</f>
        <v>656.46396750635029</v>
      </c>
      <c r="CC193" s="153">
        <f t="shared" si="251"/>
        <v>0.41246149178830688</v>
      </c>
      <c r="CD193" s="5">
        <f t="shared" ref="CD193:CD210" si="339">MIN(H193+I193,O193+P193)</f>
        <v>2.5730000000000004</v>
      </c>
      <c r="CE193" s="153">
        <f t="shared" ref="CE193:CE210" si="340">CD193/(CD193+CC193)</f>
        <v>0.86184330532388131</v>
      </c>
      <c r="CF193" s="5">
        <f t="shared" ref="CF193:CF210" si="341">CE193*100</f>
        <v>86.184330532388131</v>
      </c>
      <c r="CG193">
        <f t="shared" ref="CG193:CG210" si="342">F193/Iout*100</f>
        <v>83</v>
      </c>
      <c r="CI193" s="59">
        <f t="shared" si="332"/>
        <v>-50</v>
      </c>
      <c r="CJ193">
        <f t="shared" si="333"/>
        <v>-50</v>
      </c>
    </row>
    <row r="194" spans="5:88" x14ac:dyDescent="0.25">
      <c r="E194" s="150">
        <v>84</v>
      </c>
      <c r="F194" s="191">
        <f t="shared" si="334"/>
        <v>8.4000000000000005E-2</v>
      </c>
      <c r="G194" s="191">
        <f t="shared" si="299"/>
        <v>8.4000000000000005E-2</v>
      </c>
      <c r="H194" s="191">
        <f t="shared" si="300"/>
        <v>1.26</v>
      </c>
      <c r="I194" s="191">
        <f t="shared" si="301"/>
        <v>1.3440000000000001</v>
      </c>
      <c r="J194" s="472">
        <f t="shared" si="302"/>
        <v>13</v>
      </c>
      <c r="K194" s="386">
        <f t="shared" si="303"/>
        <v>13.99202755213622</v>
      </c>
      <c r="L194" s="386">
        <f t="shared" si="304"/>
        <v>28.32</v>
      </c>
      <c r="M194" s="386"/>
      <c r="N194" s="191">
        <f t="shared" si="305"/>
        <v>0.54096045197740117</v>
      </c>
      <c r="O194" s="152">
        <f t="shared" si="306"/>
        <v>1.1484503143794424</v>
      </c>
      <c r="P194" s="152">
        <f t="shared" si="307"/>
        <v>2.5316949152542376</v>
      </c>
      <c r="Q194" s="191">
        <f t="shared" si="308"/>
        <v>7.6563354291962829E-2</v>
      </c>
      <c r="R194" s="191">
        <f t="shared" si="309"/>
        <v>7.1778144648715153E-2</v>
      </c>
      <c r="S194" s="191">
        <f t="shared" si="310"/>
        <v>13.672027552136219</v>
      </c>
      <c r="T194" s="191">
        <f t="shared" si="311"/>
        <v>0.75</v>
      </c>
      <c r="U194" s="191">
        <f t="shared" si="312"/>
        <v>2.7115384615384612</v>
      </c>
      <c r="V194" s="191">
        <f t="shared" si="313"/>
        <v>2.5192917801693606</v>
      </c>
      <c r="W194" s="175">
        <f t="shared" si="314"/>
        <v>350</v>
      </c>
      <c r="X194" s="386">
        <f t="shared" si="315"/>
        <v>191.17424075943794</v>
      </c>
      <c r="Z194" s="191">
        <f t="shared" si="316"/>
        <v>0.40965908734165268</v>
      </c>
      <c r="AA194" s="153">
        <f t="shared" si="317"/>
        <v>1.3760676952153439</v>
      </c>
      <c r="AB194" s="153">
        <f t="shared" si="318"/>
        <v>4.7734239350754971E-2</v>
      </c>
      <c r="AC194" s="153"/>
      <c r="AD194" s="153">
        <f t="shared" si="319"/>
        <v>0.50385835603387208</v>
      </c>
      <c r="AE194" s="317">
        <f t="shared" si="320"/>
        <v>2222.8469302684498</v>
      </c>
      <c r="AF194" s="463">
        <f t="shared" si="321"/>
        <v>1.3226281845889141E-2</v>
      </c>
      <c r="AH194" s="153">
        <f t="shared" si="322"/>
        <v>0.56266841450436078</v>
      </c>
      <c r="AI194" s="153">
        <f t="shared" si="323"/>
        <v>0.75</v>
      </c>
      <c r="AJ194" s="153">
        <f t="shared" si="324"/>
        <v>1.6444444444444444</v>
      </c>
      <c r="AL194" s="317">
        <f t="shared" si="325"/>
        <v>84</v>
      </c>
      <c r="AM194" s="147">
        <f t="shared" si="326"/>
        <v>191.17424075943794</v>
      </c>
      <c r="AO194" t="str">
        <f t="shared" si="327"/>
        <v/>
      </c>
      <c r="AP194" t="str">
        <f t="shared" si="328"/>
        <v/>
      </c>
      <c r="AR194" s="5">
        <f t="shared" si="249"/>
        <v>5.2308302417078218</v>
      </c>
      <c r="AS194" s="5">
        <f t="shared" si="335"/>
        <v>2.7115384615384612</v>
      </c>
      <c r="AT194" s="5">
        <f t="shared" si="336"/>
        <v>2.5192917801693606</v>
      </c>
      <c r="AU194" s="153">
        <f t="shared" si="337"/>
        <v>0.51837630667462975</v>
      </c>
      <c r="AW194" s="5">
        <f t="shared" si="275"/>
        <v>1.5184615384615383</v>
      </c>
      <c r="AX194" s="5"/>
      <c r="AY194" s="5">
        <f t="shared" si="276"/>
        <v>1.4235576923076922</v>
      </c>
      <c r="AZ194" s="5"/>
      <c r="BA194" s="5">
        <f t="shared" si="277"/>
        <v>0.36174446074226713</v>
      </c>
      <c r="BB194" s="5"/>
      <c r="BC194" s="5"/>
      <c r="BD194" s="153">
        <f t="shared" si="278"/>
        <v>0.31176202062068603</v>
      </c>
      <c r="BE194" s="153">
        <f t="shared" si="279"/>
        <v>0.300506975790092</v>
      </c>
      <c r="BF194" s="153">
        <f t="shared" si="280"/>
        <v>0.30089979536628819</v>
      </c>
      <c r="BG194" s="153"/>
      <c r="BH194" s="463">
        <f t="shared" si="281"/>
        <v>3.4018445125522566E-2</v>
      </c>
      <c r="BI194" s="463">
        <f t="shared" si="282"/>
        <v>2.0302704368652311E-2</v>
      </c>
      <c r="BJ194" s="463">
        <f t="shared" si="283"/>
        <v>2.3896780094929738E-3</v>
      </c>
      <c r="BK194" s="463">
        <f t="shared" si="284"/>
        <v>7.6663011696031123E-3</v>
      </c>
      <c r="BL194">
        <f t="shared" si="285"/>
        <v>3.7699999999999999E-3</v>
      </c>
      <c r="BM194">
        <f t="shared" si="329"/>
        <v>3.8234848151887592E-6</v>
      </c>
      <c r="BN194">
        <f t="shared" si="330"/>
        <v>7.3202893117199783E-2</v>
      </c>
      <c r="BO194" s="147">
        <f t="shared" si="286"/>
        <v>68.14712867327097</v>
      </c>
      <c r="BP194" s="153">
        <f t="shared" si="287"/>
        <v>3.3600000000000005E-2</v>
      </c>
      <c r="BQ194" s="153">
        <f t="shared" si="288"/>
        <v>3.3600000000000005E-2</v>
      </c>
      <c r="BR194" s="463"/>
      <c r="BT194" s="147">
        <f t="shared" si="289"/>
        <v>67.2</v>
      </c>
      <c r="BU194" s="463">
        <f t="shared" si="290"/>
        <v>9.7195557501493057E-2</v>
      </c>
      <c r="BV194" s="463">
        <f t="shared" si="291"/>
        <v>9.0304442498506943E-2</v>
      </c>
      <c r="BW194" s="463">
        <f t="shared" si="292"/>
        <v>4.5270343425737056E-3</v>
      </c>
      <c r="BX194" s="463">
        <f t="shared" si="293"/>
        <v>0</v>
      </c>
      <c r="BY194" s="463">
        <f t="shared" si="274"/>
        <v>0.21842577070142541</v>
      </c>
      <c r="BZ194" s="463">
        <f t="shared" si="250"/>
        <v>0.1920270343425737</v>
      </c>
      <c r="CA194" s="549">
        <f t="shared" si="331"/>
        <v>5.3767755213591929E-2</v>
      </c>
      <c r="CB194" s="147">
        <f t="shared" si="338"/>
        <v>656.24759460016469</v>
      </c>
      <c r="CC194" s="153">
        <f t="shared" si="251"/>
        <v>0.41259641903221717</v>
      </c>
      <c r="CD194" s="5">
        <f t="shared" si="339"/>
        <v>2.6040000000000001</v>
      </c>
      <c r="CE194" s="153">
        <f t="shared" si="340"/>
        <v>0.863224521374793</v>
      </c>
      <c r="CF194" s="5">
        <f t="shared" si="341"/>
        <v>86.322452137479303</v>
      </c>
      <c r="CG194">
        <f t="shared" si="342"/>
        <v>84</v>
      </c>
      <c r="CI194" s="59">
        <f t="shared" si="332"/>
        <v>-50</v>
      </c>
      <c r="CJ194">
        <f t="shared" si="333"/>
        <v>-50</v>
      </c>
    </row>
    <row r="195" spans="5:88" x14ac:dyDescent="0.25">
      <c r="E195" s="150">
        <v>85</v>
      </c>
      <c r="F195" s="191">
        <f t="shared" si="334"/>
        <v>8.5000000000000006E-2</v>
      </c>
      <c r="G195" s="191">
        <f t="shared" si="299"/>
        <v>8.5000000000000006E-2</v>
      </c>
      <c r="H195" s="191">
        <f t="shared" si="300"/>
        <v>1.2750000000000001</v>
      </c>
      <c r="I195" s="191">
        <f t="shared" si="301"/>
        <v>1.36</v>
      </c>
      <c r="J195" s="472">
        <f t="shared" si="302"/>
        <v>13</v>
      </c>
      <c r="K195" s="386">
        <f t="shared" si="303"/>
        <v>13.83118016916991</v>
      </c>
      <c r="L195" s="386">
        <f t="shared" si="304"/>
        <v>28.32</v>
      </c>
      <c r="M195" s="386"/>
      <c r="N195" s="191">
        <f t="shared" si="305"/>
        <v>0.54096045197740117</v>
      </c>
      <c r="O195" s="152">
        <f t="shared" si="306"/>
        <v>1.1484503143794424</v>
      </c>
      <c r="P195" s="152">
        <f t="shared" si="307"/>
        <v>2.5316949152542376</v>
      </c>
      <c r="Q195" s="191">
        <f t="shared" si="308"/>
        <v>7.6563354291962829E-2</v>
      </c>
      <c r="R195" s="191">
        <f t="shared" si="309"/>
        <v>7.1778144648715153E-2</v>
      </c>
      <c r="S195" s="191">
        <f t="shared" si="310"/>
        <v>13.51118016916991</v>
      </c>
      <c r="T195" s="191">
        <f t="shared" si="311"/>
        <v>0.75</v>
      </c>
      <c r="U195" s="191">
        <f t="shared" si="312"/>
        <v>2.7115384615384612</v>
      </c>
      <c r="V195" s="191">
        <f t="shared" si="313"/>
        <v>2.548589460107912</v>
      </c>
      <c r="W195" s="175">
        <f t="shared" si="314"/>
        <v>350</v>
      </c>
      <c r="X195" s="386">
        <f t="shared" si="315"/>
        <v>190.10944503551329</v>
      </c>
      <c r="Z195" s="191">
        <f t="shared" si="316"/>
        <v>0.40737738221895708</v>
      </c>
      <c r="AA195" s="153">
        <f t="shared" si="317"/>
        <v>1.3843169368127815</v>
      </c>
      <c r="AB195" s="153">
        <f t="shared" si="318"/>
        <v>4.7752933901142269E-2</v>
      </c>
      <c r="AC195" s="153"/>
      <c r="AD195" s="153">
        <f t="shared" si="319"/>
        <v>0.50971789202158235</v>
      </c>
      <c r="AE195" s="317">
        <f t="shared" si="320"/>
        <v>2223.4521312140755</v>
      </c>
      <c r="AF195" s="463">
        <f t="shared" si="321"/>
        <v>1.3380094665566538E-2</v>
      </c>
      <c r="AH195" s="153">
        <f t="shared" si="322"/>
        <v>0.56600772224532192</v>
      </c>
      <c r="AI195" s="153">
        <f t="shared" si="323"/>
        <v>0.75</v>
      </c>
      <c r="AJ195" s="153">
        <f t="shared" si="324"/>
        <v>1.6444444444444444</v>
      </c>
      <c r="AL195" s="317">
        <f t="shared" si="325"/>
        <v>85</v>
      </c>
      <c r="AM195" s="147">
        <f t="shared" si="326"/>
        <v>190.10944503551329</v>
      </c>
      <c r="AO195" t="str">
        <f t="shared" si="327"/>
        <v/>
      </c>
      <c r="AP195" t="str">
        <f t="shared" si="328"/>
        <v/>
      </c>
      <c r="AR195" s="5">
        <f t="shared" si="249"/>
        <v>5.2601279216463741</v>
      </c>
      <c r="AS195" s="5">
        <f t="shared" si="335"/>
        <v>2.7115384615384612</v>
      </c>
      <c r="AT195" s="5">
        <f t="shared" si="336"/>
        <v>2.5485894601079129</v>
      </c>
      <c r="AU195" s="153">
        <f t="shared" si="337"/>
        <v>0.5154890721155263</v>
      </c>
      <c r="AW195" s="5">
        <f t="shared" si="275"/>
        <v>1.5365384615384614</v>
      </c>
      <c r="AX195" s="5"/>
      <c r="AY195" s="5">
        <f t="shared" si="276"/>
        <v>1.4405048076923075</v>
      </c>
      <c r="AZ195" s="5"/>
      <c r="BA195" s="5">
        <f t="shared" si="277"/>
        <v>0.37030787027208989</v>
      </c>
      <c r="BB195" s="5"/>
      <c r="BC195" s="5"/>
      <c r="BD195" s="153">
        <f t="shared" si="278"/>
        <v>0.31089258759523553</v>
      </c>
      <c r="BE195" s="153">
        <f t="shared" si="279"/>
        <v>0.30140636850992186</v>
      </c>
      <c r="BF195" s="153">
        <f t="shared" si="280"/>
        <v>0.301800363762876</v>
      </c>
      <c r="BG195" s="153"/>
      <c r="BH195" s="463">
        <f t="shared" si="281"/>
        <v>3.3828970357581416E-2</v>
      </c>
      <c r="BI195" s="463">
        <f t="shared" si="282"/>
        <v>2.0189623062771514E-2</v>
      </c>
      <c r="BJ195" s="463">
        <f t="shared" si="283"/>
        <v>2.3763680629439159E-3</v>
      </c>
      <c r="BK195" s="463">
        <f t="shared" si="284"/>
        <v>7.6236016685025231E-3</v>
      </c>
      <c r="BL195">
        <f t="shared" si="285"/>
        <v>3.7699999999999999E-3</v>
      </c>
      <c r="BM195">
        <f t="shared" si="329"/>
        <v>3.8021889007102657E-6</v>
      </c>
      <c r="BN195">
        <f t="shared" si="330"/>
        <v>7.2813739290253338E-2</v>
      </c>
      <c r="BO195" s="147">
        <f t="shared" si="286"/>
        <v>67.788563151799366</v>
      </c>
      <c r="BP195" s="153">
        <f t="shared" si="287"/>
        <v>3.4000000000000002E-2</v>
      </c>
      <c r="BQ195" s="153">
        <f t="shared" si="288"/>
        <v>3.4000000000000002E-2</v>
      </c>
      <c r="BR195" s="463"/>
      <c r="BT195" s="147">
        <f t="shared" si="289"/>
        <v>68</v>
      </c>
      <c r="BU195" s="463">
        <f t="shared" si="290"/>
        <v>9.6654201021661196E-2</v>
      </c>
      <c r="BV195" s="463">
        <f t="shared" si="291"/>
        <v>9.0845798978338818E-2</v>
      </c>
      <c r="BW195" s="463">
        <f t="shared" si="292"/>
        <v>4.5541729783702143E-3</v>
      </c>
      <c r="BX195" s="463">
        <f t="shared" si="293"/>
        <v>0</v>
      </c>
      <c r="BY195" s="463">
        <f t="shared" si="274"/>
        <v>0.21845712188577526</v>
      </c>
      <c r="BZ195" s="463">
        <f t="shared" si="250"/>
        <v>0.19205417297837021</v>
      </c>
      <c r="CA195" s="549">
        <f t="shared" si="331"/>
        <v>5.346828141623812E-2</v>
      </c>
      <c r="CB195" s="147">
        <f t="shared" si="338"/>
        <v>656.03374925875391</v>
      </c>
      <c r="CC195" s="153">
        <f t="shared" si="251"/>
        <v>0.41273914259226668</v>
      </c>
      <c r="CD195" s="5">
        <f t="shared" si="339"/>
        <v>2.6350000000000002</v>
      </c>
      <c r="CE195" s="153">
        <f t="shared" si="340"/>
        <v>0.86457530540451377</v>
      </c>
      <c r="CF195" s="5">
        <f t="shared" si="341"/>
        <v>86.457530540451373</v>
      </c>
      <c r="CG195">
        <f t="shared" si="342"/>
        <v>85</v>
      </c>
      <c r="CI195" s="59">
        <f t="shared" si="332"/>
        <v>-50</v>
      </c>
      <c r="CJ195">
        <f t="shared" si="333"/>
        <v>-50</v>
      </c>
    </row>
    <row r="196" spans="5:88" x14ac:dyDescent="0.25">
      <c r="E196" s="150">
        <v>86</v>
      </c>
      <c r="F196" s="191">
        <f t="shared" si="334"/>
        <v>8.6000000000000007E-2</v>
      </c>
      <c r="G196" s="191">
        <f t="shared" si="299"/>
        <v>8.6000000000000007E-2</v>
      </c>
      <c r="H196" s="191">
        <f t="shared" si="300"/>
        <v>1.29</v>
      </c>
      <c r="I196" s="191">
        <f t="shared" si="301"/>
        <v>1.3760000000000001</v>
      </c>
      <c r="J196" s="472">
        <f t="shared" si="302"/>
        <v>13</v>
      </c>
      <c r="K196" s="386">
        <f t="shared" si="303"/>
        <v>13.674073423016772</v>
      </c>
      <c r="L196" s="386">
        <f t="shared" si="304"/>
        <v>28.32</v>
      </c>
      <c r="M196" s="386"/>
      <c r="N196" s="191">
        <f t="shared" si="305"/>
        <v>0.54096045197740117</v>
      </c>
      <c r="O196" s="152">
        <f t="shared" si="306"/>
        <v>1.1484503143794424</v>
      </c>
      <c r="P196" s="152">
        <f t="shared" si="307"/>
        <v>2.5316949152542376</v>
      </c>
      <c r="Q196" s="191">
        <f t="shared" si="308"/>
        <v>7.6563354291962829E-2</v>
      </c>
      <c r="R196" s="191">
        <f t="shared" si="309"/>
        <v>7.1778144648715153E-2</v>
      </c>
      <c r="S196" s="191">
        <f t="shared" si="310"/>
        <v>13.354073423016771</v>
      </c>
      <c r="T196" s="191">
        <f t="shared" si="311"/>
        <v>0.75</v>
      </c>
      <c r="U196" s="191">
        <f t="shared" si="312"/>
        <v>2.7115384615384612</v>
      </c>
      <c r="V196" s="191">
        <f t="shared" si="313"/>
        <v>2.5778711953283593</v>
      </c>
      <c r="W196" s="175">
        <f t="shared" si="314"/>
        <v>350</v>
      </c>
      <c r="X196" s="386">
        <f t="shared" si="315"/>
        <v>189.05701484130265</v>
      </c>
      <c r="Z196" s="191">
        <f t="shared" si="316"/>
        <v>0.40512217465993411</v>
      </c>
      <c r="AA196" s="153">
        <f t="shared" si="317"/>
        <v>1.3924703795261719</v>
      </c>
      <c r="AB196" s="153">
        <f t="shared" si="318"/>
        <v>4.7768279009544022E-2</v>
      </c>
      <c r="AC196" s="153"/>
      <c r="AD196" s="153">
        <f t="shared" si="319"/>
        <v>0.5155742390656719</v>
      </c>
      <c r="AE196" s="317">
        <f t="shared" si="320"/>
        <v>2224.0573321597021</v>
      </c>
      <c r="AF196" s="463">
        <f t="shared" si="321"/>
        <v>1.3533823775473887E-2</v>
      </c>
      <c r="AH196" s="153">
        <f t="shared" si="322"/>
        <v>0.56932744409682534</v>
      </c>
      <c r="AI196" s="153">
        <f t="shared" si="323"/>
        <v>0.75</v>
      </c>
      <c r="AJ196" s="153">
        <f t="shared" si="324"/>
        <v>1.6444444444444444</v>
      </c>
      <c r="AL196" s="317">
        <f t="shared" si="325"/>
        <v>86</v>
      </c>
      <c r="AM196" s="147">
        <f t="shared" si="326"/>
        <v>189.05701484130265</v>
      </c>
      <c r="AO196" t="str">
        <f t="shared" si="327"/>
        <v/>
      </c>
      <c r="AP196" t="str">
        <f t="shared" si="328"/>
        <v/>
      </c>
      <c r="AR196" s="5">
        <f t="shared" si="249"/>
        <v>5.2894096568668205</v>
      </c>
      <c r="AS196" s="5">
        <f t="shared" si="335"/>
        <v>2.7115384615384612</v>
      </c>
      <c r="AT196" s="5">
        <f t="shared" si="336"/>
        <v>2.5778711953283593</v>
      </c>
      <c r="AU196" s="153">
        <f t="shared" si="337"/>
        <v>0.51263536716583979</v>
      </c>
      <c r="AW196" s="5">
        <f t="shared" si="275"/>
        <v>1.5546153846153845</v>
      </c>
      <c r="AX196" s="5"/>
      <c r="AY196" s="5">
        <f t="shared" si="276"/>
        <v>1.457451923076923</v>
      </c>
      <c r="AZ196" s="5"/>
      <c r="BA196" s="5">
        <f t="shared" si="277"/>
        <v>0.37896909880040835</v>
      </c>
      <c r="BB196" s="5"/>
      <c r="BC196" s="5"/>
      <c r="BD196" s="153">
        <f t="shared" si="278"/>
        <v>0.31003085547021758</v>
      </c>
      <c r="BE196" s="153">
        <f t="shared" si="279"/>
        <v>0.30229268707066836</v>
      </c>
      <c r="BF196" s="153">
        <f t="shared" si="280"/>
        <v>0.30268784090997641</v>
      </c>
      <c r="BG196" s="153"/>
      <c r="BH196" s="463">
        <f t="shared" si="281"/>
        <v>3.3641695970258227E-2</v>
      </c>
      <c r="BI196" s="463">
        <f t="shared" si="282"/>
        <v>2.0077854976146343E-2</v>
      </c>
      <c r="BJ196" s="463">
        <f t="shared" si="283"/>
        <v>2.363212685516283E-3</v>
      </c>
      <c r="BK196" s="463">
        <f t="shared" si="284"/>
        <v>7.5813980389928589E-3</v>
      </c>
      <c r="BL196">
        <f t="shared" si="285"/>
        <v>3.7699999999999999E-3</v>
      </c>
      <c r="BM196">
        <f t="shared" si="329"/>
        <v>3.781140296826053E-6</v>
      </c>
      <c r="BN196">
        <f t="shared" si="330"/>
        <v>7.2429131630537852E-2</v>
      </c>
      <c r="BO196" s="147">
        <f t="shared" si="286"/>
        <v>67.43416167091371</v>
      </c>
      <c r="BP196" s="153">
        <f t="shared" si="287"/>
        <v>3.4400000000000007E-2</v>
      </c>
      <c r="BQ196" s="153">
        <f t="shared" si="288"/>
        <v>3.4400000000000007E-2</v>
      </c>
      <c r="BR196" s="463"/>
      <c r="BT196" s="147">
        <f t="shared" si="289"/>
        <v>68.800000000000011</v>
      </c>
      <c r="BU196" s="463">
        <f t="shared" si="290"/>
        <v>9.6119131343594941E-2</v>
      </c>
      <c r="BV196" s="463">
        <f t="shared" si="291"/>
        <v>9.1380868656405032E-2</v>
      </c>
      <c r="BW196" s="463">
        <f t="shared" si="292"/>
        <v>4.5809964517371602E-3</v>
      </c>
      <c r="BX196" s="463">
        <f t="shared" si="293"/>
        <v>0</v>
      </c>
      <c r="BY196" s="463">
        <f t="shared" si="274"/>
        <v>0.21848810912300179</v>
      </c>
      <c r="BZ196" s="463">
        <f t="shared" si="250"/>
        <v>0.19208099645173712</v>
      </c>
      <c r="CA196" s="549">
        <f t="shared" si="331"/>
        <v>5.3172285424116381E-2</v>
      </c>
      <c r="CB196" s="147">
        <f t="shared" si="338"/>
        <v>655.82238745059237</v>
      </c>
      <c r="CC196" s="153">
        <f t="shared" si="251"/>
        <v>0.41288952617765606</v>
      </c>
      <c r="CD196" s="5">
        <f t="shared" si="339"/>
        <v>2.6660000000000004</v>
      </c>
      <c r="CE196" s="153">
        <f t="shared" si="340"/>
        <v>0.86589660893411624</v>
      </c>
      <c r="CF196" s="5">
        <f t="shared" si="341"/>
        <v>86.589660893411619</v>
      </c>
      <c r="CG196">
        <f t="shared" si="342"/>
        <v>86</v>
      </c>
      <c r="CI196" s="59">
        <f t="shared" si="332"/>
        <v>-50</v>
      </c>
      <c r="CJ196">
        <f t="shared" si="333"/>
        <v>-50</v>
      </c>
    </row>
    <row r="197" spans="5:88" x14ac:dyDescent="0.25">
      <c r="E197" s="150">
        <v>87</v>
      </c>
      <c r="F197" s="191">
        <f t="shared" si="334"/>
        <v>8.7000000000000008E-2</v>
      </c>
      <c r="G197" s="191">
        <f t="shared" si="299"/>
        <v>8.7000000000000008E-2</v>
      </c>
      <c r="H197" s="191">
        <f t="shared" si="300"/>
        <v>1.3050000000000002</v>
      </c>
      <c r="I197" s="191">
        <f t="shared" si="301"/>
        <v>1.3920000000000001</v>
      </c>
      <c r="J197" s="472">
        <f t="shared" si="302"/>
        <v>13</v>
      </c>
      <c r="K197" s="386">
        <f t="shared" si="303"/>
        <v>13.520578326200487</v>
      </c>
      <c r="L197" s="386">
        <f t="shared" si="304"/>
        <v>28.32</v>
      </c>
      <c r="M197" s="386"/>
      <c r="N197" s="191">
        <f t="shared" si="305"/>
        <v>0.54096045197740117</v>
      </c>
      <c r="O197" s="152">
        <f t="shared" si="306"/>
        <v>1.1484503143794424</v>
      </c>
      <c r="P197" s="152">
        <f t="shared" si="307"/>
        <v>2.5316949152542376</v>
      </c>
      <c r="Q197" s="191">
        <f t="shared" si="308"/>
        <v>7.6563354291962829E-2</v>
      </c>
      <c r="R197" s="191">
        <f t="shared" si="309"/>
        <v>7.1778144648715153E-2</v>
      </c>
      <c r="S197" s="191">
        <f t="shared" si="310"/>
        <v>13.200578326200487</v>
      </c>
      <c r="T197" s="191">
        <f t="shared" si="311"/>
        <v>0.75</v>
      </c>
      <c r="U197" s="191">
        <f t="shared" si="312"/>
        <v>2.7115384615384612</v>
      </c>
      <c r="V197" s="191">
        <f t="shared" si="313"/>
        <v>2.607136998843588</v>
      </c>
      <c r="W197" s="175">
        <f t="shared" si="314"/>
        <v>350</v>
      </c>
      <c r="X197" s="386">
        <f t="shared" si="315"/>
        <v>188.01673601798751</v>
      </c>
      <c r="Z197" s="191">
        <f t="shared" si="316"/>
        <v>0.40289300575283038</v>
      </c>
      <c r="AA197" s="153">
        <f t="shared" si="317"/>
        <v>1.4005296824980087</v>
      </c>
      <c r="AB197" s="153">
        <f t="shared" si="318"/>
        <v>4.7780386620892248E-2</v>
      </c>
      <c r="AC197" s="153"/>
      <c r="AD197" s="153">
        <f t="shared" si="319"/>
        <v>0.52142739976871755</v>
      </c>
      <c r="AE197" s="317">
        <f t="shared" si="320"/>
        <v>2224.6625331053292</v>
      </c>
      <c r="AF197" s="463">
        <f t="shared" si="321"/>
        <v>1.3687469243928834E-2</v>
      </c>
      <c r="AH197" s="153">
        <f t="shared" si="322"/>
        <v>0.57262792069747182</v>
      </c>
      <c r="AI197" s="153">
        <f t="shared" si="323"/>
        <v>0.75</v>
      </c>
      <c r="AJ197" s="153">
        <f t="shared" si="324"/>
        <v>1.6444444444444444</v>
      </c>
      <c r="AL197" s="317">
        <f t="shared" si="325"/>
        <v>87.000000000000014</v>
      </c>
      <c r="AM197" s="147">
        <f t="shared" si="326"/>
        <v>188.01673601798751</v>
      </c>
      <c r="AO197" t="str">
        <f t="shared" si="327"/>
        <v/>
      </c>
      <c r="AP197" t="str">
        <f t="shared" si="328"/>
        <v/>
      </c>
      <c r="AR197" s="5">
        <f t="shared" si="249"/>
        <v>5.3186754603820496</v>
      </c>
      <c r="AS197" s="5">
        <f t="shared" si="335"/>
        <v>2.7115384615384612</v>
      </c>
      <c r="AT197" s="5">
        <f t="shared" si="336"/>
        <v>2.6071369988435884</v>
      </c>
      <c r="AU197" s="153">
        <f t="shared" si="337"/>
        <v>0.50981461112569681</v>
      </c>
      <c r="AW197" s="5">
        <f t="shared" si="275"/>
        <v>1.5726923076923076</v>
      </c>
      <c r="AX197" s="5"/>
      <c r="AY197" s="5">
        <f t="shared" si="276"/>
        <v>1.4743990384615386</v>
      </c>
      <c r="AZ197" s="5"/>
      <c r="BA197" s="5">
        <f t="shared" si="277"/>
        <v>0.38772806649468761</v>
      </c>
      <c r="BB197" s="5"/>
      <c r="BC197" s="5"/>
      <c r="BD197" s="153">
        <f t="shared" si="278"/>
        <v>0.30917671255459744</v>
      </c>
      <c r="BE197" s="153">
        <f t="shared" si="279"/>
        <v>0.30316622571442853</v>
      </c>
      <c r="BF197" s="153">
        <f t="shared" si="280"/>
        <v>0.30356252143431672</v>
      </c>
      <c r="BG197" s="153"/>
      <c r="BH197" s="463">
        <f t="shared" si="281"/>
        <v>3.3456583855123859E-2</v>
      </c>
      <c r="BI197" s="463">
        <f t="shared" si="282"/>
        <v>1.9967377365110277E-2</v>
      </c>
      <c r="BJ197" s="463">
        <f t="shared" si="283"/>
        <v>2.3502092002248439E-3</v>
      </c>
      <c r="BK197" s="463">
        <f t="shared" si="284"/>
        <v>7.5396816930656399E-3</v>
      </c>
      <c r="BL197">
        <f t="shared" si="285"/>
        <v>3.7699999999999999E-3</v>
      </c>
      <c r="BM197">
        <f t="shared" si="329"/>
        <v>3.7603347203597501E-6</v>
      </c>
      <c r="BN197">
        <f t="shared" si="330"/>
        <v>7.2048990936920465E-2</v>
      </c>
      <c r="BO197" s="147">
        <f t="shared" si="286"/>
        <v>67.083852113524614</v>
      </c>
      <c r="BP197" s="153">
        <f t="shared" si="287"/>
        <v>3.4800000000000005E-2</v>
      </c>
      <c r="BQ197" s="153">
        <f t="shared" si="288"/>
        <v>3.4800000000000005E-2</v>
      </c>
      <c r="BR197" s="463"/>
      <c r="BT197" s="147">
        <f t="shared" si="289"/>
        <v>69.600000000000009</v>
      </c>
      <c r="BU197" s="463">
        <f t="shared" si="290"/>
        <v>9.5590239586068174E-2</v>
      </c>
      <c r="BV197" s="463">
        <f t="shared" si="291"/>
        <v>9.1909760413931826E-2</v>
      </c>
      <c r="BW197" s="463">
        <f t="shared" si="292"/>
        <v>4.6075102209780002E-3</v>
      </c>
      <c r="BX197" s="463">
        <f t="shared" si="293"/>
        <v>0</v>
      </c>
      <c r="BY197" s="463">
        <f t="shared" si="274"/>
        <v>0.21851873871397295</v>
      </c>
      <c r="BZ197" s="463">
        <f t="shared" si="250"/>
        <v>0.192107510220978</v>
      </c>
      <c r="CA197" s="549">
        <f t="shared" si="331"/>
        <v>5.2879707005058993E-2</v>
      </c>
      <c r="CB197" s="147">
        <f t="shared" si="338"/>
        <v>655.61346616098797</v>
      </c>
      <c r="CC197" s="153">
        <f t="shared" si="251"/>
        <v>0.41304743665595239</v>
      </c>
      <c r="CD197" s="5">
        <f t="shared" si="339"/>
        <v>2.6970000000000001</v>
      </c>
      <c r="CE197" s="153">
        <f t="shared" si="340"/>
        <v>0.86718934515671642</v>
      </c>
      <c r="CF197" s="5">
        <f t="shared" si="341"/>
        <v>86.718934515671648</v>
      </c>
      <c r="CG197">
        <f t="shared" si="342"/>
        <v>87</v>
      </c>
      <c r="CI197" s="59">
        <f t="shared" si="332"/>
        <v>-50</v>
      </c>
      <c r="CJ197">
        <f t="shared" si="333"/>
        <v>-50</v>
      </c>
    </row>
    <row r="198" spans="5:88" x14ac:dyDescent="0.25">
      <c r="E198" s="150">
        <v>88</v>
      </c>
      <c r="F198" s="191">
        <f t="shared" si="334"/>
        <v>8.8000000000000009E-2</v>
      </c>
      <c r="G198" s="191">
        <f t="shared" si="299"/>
        <v>8.8000000000000009E-2</v>
      </c>
      <c r="H198" s="191">
        <f t="shared" si="300"/>
        <v>1.32</v>
      </c>
      <c r="I198" s="191">
        <f t="shared" si="301"/>
        <v>1.4080000000000001</v>
      </c>
      <c r="J198" s="472">
        <f t="shared" si="302"/>
        <v>13</v>
      </c>
      <c r="K198" s="386">
        <f t="shared" si="303"/>
        <v>13.370571754311845</v>
      </c>
      <c r="L198" s="386">
        <f t="shared" si="304"/>
        <v>28.32</v>
      </c>
      <c r="M198" s="386"/>
      <c r="N198" s="191">
        <f t="shared" si="305"/>
        <v>0.54096045197740117</v>
      </c>
      <c r="O198" s="152">
        <f t="shared" si="306"/>
        <v>1.1484503143794424</v>
      </c>
      <c r="P198" s="152">
        <f t="shared" si="307"/>
        <v>2.5316949152542376</v>
      </c>
      <c r="Q198" s="191">
        <f t="shared" si="308"/>
        <v>7.6563354291962829E-2</v>
      </c>
      <c r="R198" s="191">
        <f t="shared" si="309"/>
        <v>7.1778144648715153E-2</v>
      </c>
      <c r="S198" s="191">
        <f t="shared" si="310"/>
        <v>13.050571754311845</v>
      </c>
      <c r="T198" s="191">
        <f t="shared" si="311"/>
        <v>0.75</v>
      </c>
      <c r="U198" s="191">
        <f t="shared" si="312"/>
        <v>2.7115384615384612</v>
      </c>
      <c r="V198" s="191">
        <f t="shared" si="313"/>
        <v>2.6363868836523245</v>
      </c>
      <c r="W198" s="175">
        <f t="shared" si="314"/>
        <v>350</v>
      </c>
      <c r="X198" s="386">
        <f t="shared" si="315"/>
        <v>186.98839932372414</v>
      </c>
      <c r="Z198" s="191">
        <f t="shared" si="316"/>
        <v>0.40068942712226607</v>
      </c>
      <c r="AA198" s="153">
        <f t="shared" si="317"/>
        <v>1.4084964667777418</v>
      </c>
      <c r="AB198" s="153">
        <f t="shared" si="318"/>
        <v>4.7789364878689893E-2</v>
      </c>
      <c r="AC198" s="153"/>
      <c r="AD198" s="153">
        <f t="shared" si="319"/>
        <v>0.52727737673046493</v>
      </c>
      <c r="AE198" s="317">
        <f t="shared" si="320"/>
        <v>2225.2677340509554</v>
      </c>
      <c r="AF198" s="463">
        <f t="shared" si="321"/>
        <v>1.3841031139174703E-2</v>
      </c>
      <c r="AH198" s="153">
        <f t="shared" si="322"/>
        <v>0.57590948292487454</v>
      </c>
      <c r="AI198" s="153">
        <f t="shared" si="323"/>
        <v>0.75</v>
      </c>
      <c r="AJ198" s="153">
        <f t="shared" si="324"/>
        <v>1.6444444444444444</v>
      </c>
      <c r="AL198" s="317">
        <f t="shared" si="325"/>
        <v>88.000000000000014</v>
      </c>
      <c r="AM198" s="147">
        <f t="shared" si="326"/>
        <v>186.98839932372414</v>
      </c>
      <c r="AO198" t="str">
        <f t="shared" si="327"/>
        <v/>
      </c>
      <c r="AP198" t="str">
        <f t="shared" si="328"/>
        <v/>
      </c>
      <c r="AR198" s="5">
        <f t="shared" ref="AR198:AR262" si="343">1/AM198*1000</f>
        <v>5.3479253451907862</v>
      </c>
      <c r="AS198" s="5">
        <f t="shared" si="335"/>
        <v>2.7115384615384612</v>
      </c>
      <c r="AT198" s="5">
        <f t="shared" si="336"/>
        <v>2.636386883652325</v>
      </c>
      <c r="AU198" s="153">
        <f t="shared" si="337"/>
        <v>0.50702623662779045</v>
      </c>
      <c r="AW198" s="5">
        <f t="shared" si="275"/>
        <v>1.5907692307692309</v>
      </c>
      <c r="AX198" s="5"/>
      <c r="AY198" s="5">
        <f t="shared" si="276"/>
        <v>1.4913461538461539</v>
      </c>
      <c r="AZ198" s="5"/>
      <c r="BA198" s="5">
        <f t="shared" si="277"/>
        <v>0.3965846936092387</v>
      </c>
      <c r="BB198" s="5"/>
      <c r="BC198" s="5"/>
      <c r="BD198" s="153">
        <f t="shared" si="278"/>
        <v>0.30833004940762865</v>
      </c>
      <c r="BE198" s="153">
        <f t="shared" si="279"/>
        <v>0.30402726955371834</v>
      </c>
      <c r="BF198" s="153">
        <f t="shared" si="280"/>
        <v>0.30442469082110885</v>
      </c>
      <c r="BG198" s="153"/>
      <c r="BH198" s="463">
        <f t="shared" si="281"/>
        <v>3.3273596778698754E-2</v>
      </c>
      <c r="BI198" s="463">
        <f t="shared" si="282"/>
        <v>1.9858168008179505E-2</v>
      </c>
      <c r="BJ198" s="463">
        <f t="shared" si="283"/>
        <v>2.3373549915465517E-3</v>
      </c>
      <c r="BK198" s="463">
        <f t="shared" si="284"/>
        <v>7.4984442398885812E-3</v>
      </c>
      <c r="BL198">
        <f t="shared" si="285"/>
        <v>3.7699999999999999E-3</v>
      </c>
      <c r="BM198">
        <f t="shared" si="329"/>
        <v>3.7397679864744827E-6</v>
      </c>
      <c r="BN198">
        <f t="shared" si="330"/>
        <v>7.1673239837384953E-2</v>
      </c>
      <c r="BO198" s="147">
        <f t="shared" si="286"/>
        <v>66.737564018313378</v>
      </c>
      <c r="BP198" s="153">
        <f t="shared" si="287"/>
        <v>3.5200000000000002E-2</v>
      </c>
      <c r="BQ198" s="153">
        <f t="shared" si="288"/>
        <v>3.5200000000000002E-2</v>
      </c>
      <c r="BR198" s="463"/>
      <c r="BT198" s="147">
        <f t="shared" si="289"/>
        <v>70.400000000000006</v>
      </c>
      <c r="BU198" s="463">
        <f t="shared" si="290"/>
        <v>9.5067419367710723E-2</v>
      </c>
      <c r="BV198" s="463">
        <f t="shared" si="291"/>
        <v>9.2432580632289305E-2</v>
      </c>
      <c r="BW198" s="463">
        <f t="shared" si="292"/>
        <v>4.6337196190763853E-3</v>
      </c>
      <c r="BX198" s="463">
        <f t="shared" si="293"/>
        <v>0</v>
      </c>
      <c r="BY198" s="463">
        <f t="shared" si="274"/>
        <v>0.2185490168149454</v>
      </c>
      <c r="BZ198" s="463">
        <f t="shared" ref="BZ198:BZ210" si="344">SUM(BU198:BX198)</f>
        <v>0.19213371961907641</v>
      </c>
      <c r="CA198" s="549">
        <f t="shared" si="331"/>
        <v>5.2590487309797422E-2</v>
      </c>
      <c r="CB198" s="147">
        <f t="shared" si="338"/>
        <v>655.40694336289562</v>
      </c>
      <c r="CC198" s="153">
        <f t="shared" ref="CC198:CC210" si="345">SUM(BN198,BP198:BS198,BY198, CA198)</f>
        <v>0.41321274396212782</v>
      </c>
      <c r="CD198" s="5">
        <f t="shared" si="339"/>
        <v>2.7280000000000002</v>
      </c>
      <c r="CE198" s="153">
        <f t="shared" si="340"/>
        <v>0.86845439082202147</v>
      </c>
      <c r="CF198" s="5">
        <f t="shared" si="341"/>
        <v>86.845439082202148</v>
      </c>
      <c r="CG198">
        <f t="shared" si="342"/>
        <v>88</v>
      </c>
      <c r="CI198" s="59">
        <f t="shared" si="332"/>
        <v>-50</v>
      </c>
      <c r="CJ198">
        <f t="shared" si="333"/>
        <v>-50</v>
      </c>
    </row>
    <row r="199" spans="5:88" x14ac:dyDescent="0.25">
      <c r="E199" s="150">
        <v>89</v>
      </c>
      <c r="F199" s="191">
        <f t="shared" si="334"/>
        <v>8.900000000000001E-2</v>
      </c>
      <c r="G199" s="191">
        <f t="shared" si="299"/>
        <v>8.900000000000001E-2</v>
      </c>
      <c r="H199" s="191">
        <f t="shared" si="300"/>
        <v>1.3350000000000002</v>
      </c>
      <c r="I199" s="191">
        <f t="shared" si="301"/>
        <v>1.4240000000000002</v>
      </c>
      <c r="J199" s="472">
        <f t="shared" si="302"/>
        <v>13</v>
      </c>
      <c r="K199" s="386">
        <f t="shared" si="303"/>
        <v>13.223936116622948</v>
      </c>
      <c r="L199" s="386">
        <f t="shared" si="304"/>
        <v>28.32</v>
      </c>
      <c r="M199" s="386"/>
      <c r="N199" s="191">
        <f t="shared" si="305"/>
        <v>0.54096045197740117</v>
      </c>
      <c r="O199" s="152">
        <f t="shared" si="306"/>
        <v>1.1484503143794424</v>
      </c>
      <c r="P199" s="152">
        <f t="shared" si="307"/>
        <v>2.5316949152542376</v>
      </c>
      <c r="Q199" s="191">
        <f t="shared" si="308"/>
        <v>7.6563354291962829E-2</v>
      </c>
      <c r="R199" s="191">
        <f t="shared" si="309"/>
        <v>7.1778144648715153E-2</v>
      </c>
      <c r="S199" s="191">
        <f t="shared" si="310"/>
        <v>12.903936116622948</v>
      </c>
      <c r="T199" s="191">
        <f t="shared" si="311"/>
        <v>0.75</v>
      </c>
      <c r="U199" s="191">
        <f t="shared" si="312"/>
        <v>2.7115384615384612</v>
      </c>
      <c r="V199" s="191">
        <f t="shared" si="313"/>
        <v>2.6656208627391598</v>
      </c>
      <c r="W199" s="175">
        <f t="shared" si="314"/>
        <v>350</v>
      </c>
      <c r="X199" s="386">
        <f t="shared" si="315"/>
        <v>185.97180029333467</v>
      </c>
      <c r="Z199" s="191">
        <f t="shared" si="316"/>
        <v>0.39851100062857414</v>
      </c>
      <c r="AA199" s="153">
        <f t="shared" si="317"/>
        <v>1.4163723164087809</v>
      </c>
      <c r="AB199" s="153">
        <f t="shared" si="318"/>
        <v>4.7795318268420026E-2</v>
      </c>
      <c r="AC199" s="153"/>
      <c r="AD199" s="153">
        <f t="shared" si="319"/>
        <v>0.53312417254783195</v>
      </c>
      <c r="AE199" s="317">
        <f t="shared" si="320"/>
        <v>2225.8729349965815</v>
      </c>
      <c r="AF199" s="463">
        <f t="shared" si="321"/>
        <v>1.3994509529380588E-2</v>
      </c>
      <c r="AH199" s="153">
        <f t="shared" si="322"/>
        <v>0.57917245228280911</v>
      </c>
      <c r="AI199" s="153">
        <f t="shared" si="323"/>
        <v>0.75</v>
      </c>
      <c r="AJ199" s="153">
        <f t="shared" si="324"/>
        <v>1.6444444444444444</v>
      </c>
      <c r="AL199" s="317">
        <f t="shared" si="325"/>
        <v>89.000000000000014</v>
      </c>
      <c r="AM199" s="147">
        <f t="shared" si="326"/>
        <v>185.97180029333467</v>
      </c>
      <c r="AO199" t="str">
        <f t="shared" si="327"/>
        <v/>
      </c>
      <c r="AP199" t="str">
        <f t="shared" si="328"/>
        <v/>
      </c>
      <c r="AR199" s="5">
        <f t="shared" si="343"/>
        <v>5.3771593242776206</v>
      </c>
      <c r="AS199" s="5">
        <f t="shared" si="335"/>
        <v>2.7115384615384612</v>
      </c>
      <c r="AT199" s="5">
        <f t="shared" si="336"/>
        <v>2.6656208627391593</v>
      </c>
      <c r="AU199" s="153">
        <f t="shared" si="337"/>
        <v>0.50426968925692661</v>
      </c>
      <c r="AW199" s="5">
        <f t="shared" si="275"/>
        <v>1.6088461538461538</v>
      </c>
      <c r="AX199" s="5"/>
      <c r="AY199" s="5">
        <f t="shared" si="276"/>
        <v>1.5082932692307691</v>
      </c>
      <c r="AZ199" s="5"/>
      <c r="BA199" s="5">
        <f t="shared" si="277"/>
        <v>0.40553890048510294</v>
      </c>
      <c r="BB199" s="5"/>
      <c r="BC199" s="5"/>
      <c r="BD199" s="153">
        <f t="shared" si="278"/>
        <v>0.30749075878093268</v>
      </c>
      <c r="BE199" s="153">
        <f t="shared" si="279"/>
        <v>0.3048760949374783</v>
      </c>
      <c r="BF199" s="153">
        <f t="shared" si="280"/>
        <v>0.30527462578053383</v>
      </c>
      <c r="BG199" s="153"/>
      <c r="BH199" s="463">
        <f t="shared" si="281"/>
        <v>3.3092698357485802E-2</v>
      </c>
      <c r="BI199" s="463">
        <f t="shared" si="282"/>
        <v>1.9750205191152143E-2</v>
      </c>
      <c r="BJ199" s="463">
        <f t="shared" si="283"/>
        <v>2.3246475036666834E-3</v>
      </c>
      <c r="BK199" s="463">
        <f t="shared" si="284"/>
        <v>7.4576774801790487E-3</v>
      </c>
      <c r="BL199">
        <f t="shared" si="285"/>
        <v>3.7699999999999999E-3</v>
      </c>
      <c r="BM199">
        <f t="shared" si="329"/>
        <v>3.7194360058666934E-6</v>
      </c>
      <c r="BN199">
        <f t="shared" si="330"/>
        <v>7.1301802736531403E-2</v>
      </c>
      <c r="BO199" s="147">
        <f t="shared" si="286"/>
        <v>66.395228532483671</v>
      </c>
      <c r="BP199" s="153">
        <f t="shared" si="287"/>
        <v>3.5600000000000007E-2</v>
      </c>
      <c r="BQ199" s="153">
        <f t="shared" si="288"/>
        <v>3.5600000000000007E-2</v>
      </c>
      <c r="BR199" s="463"/>
      <c r="BT199" s="147">
        <f t="shared" si="289"/>
        <v>71.200000000000017</v>
      </c>
      <c r="BU199" s="463">
        <f t="shared" si="290"/>
        <v>9.4550566735673733E-2</v>
      </c>
      <c r="BV199" s="463">
        <f t="shared" si="291"/>
        <v>9.2949433264326281E-2</v>
      </c>
      <c r="BW199" s="463">
        <f t="shared" si="292"/>
        <v>4.6596298572722482E-3</v>
      </c>
      <c r="BX199" s="463">
        <f t="shared" si="293"/>
        <v>0</v>
      </c>
      <c r="BY199" s="463">
        <f t="shared" si="274"/>
        <v>0.21857894944168946</v>
      </c>
      <c r="BZ199" s="463">
        <f t="shared" si="344"/>
        <v>0.19215962985727225</v>
      </c>
      <c r="CA199" s="549">
        <f t="shared" si="331"/>
        <v>5.2304568832500391E-2</v>
      </c>
      <c r="CB199" s="147">
        <f t="shared" si="338"/>
        <v>655.2027779887344</v>
      </c>
      <c r="CC199" s="153">
        <f t="shared" si="345"/>
        <v>0.41338532101072128</v>
      </c>
      <c r="CD199" s="5">
        <f t="shared" si="339"/>
        <v>2.7590000000000003</v>
      </c>
      <c r="CE199" s="153">
        <f t="shared" si="340"/>
        <v>0.86969258801165528</v>
      </c>
      <c r="CF199" s="5">
        <f t="shared" si="341"/>
        <v>86.969258801165523</v>
      </c>
      <c r="CG199">
        <f t="shared" si="342"/>
        <v>89</v>
      </c>
      <c r="CI199" s="59">
        <f t="shared" si="332"/>
        <v>-50</v>
      </c>
      <c r="CJ199">
        <f t="shared" si="333"/>
        <v>-50</v>
      </c>
    </row>
    <row r="200" spans="5:88" x14ac:dyDescent="0.25">
      <c r="E200" s="150">
        <v>90</v>
      </c>
      <c r="F200" s="191">
        <f t="shared" si="334"/>
        <v>9.0000000000000011E-2</v>
      </c>
      <c r="G200" s="191">
        <f t="shared" si="299"/>
        <v>9.0000000000000011E-2</v>
      </c>
      <c r="H200" s="191">
        <f t="shared" si="300"/>
        <v>1.35</v>
      </c>
      <c r="I200" s="191">
        <f t="shared" si="301"/>
        <v>1.4400000000000002</v>
      </c>
      <c r="J200" s="472">
        <f t="shared" si="302"/>
        <v>13</v>
      </c>
      <c r="K200" s="386">
        <f t="shared" si="303"/>
        <v>13.08055904866047</v>
      </c>
      <c r="L200" s="386">
        <f t="shared" si="304"/>
        <v>28.32</v>
      </c>
      <c r="M200" s="386"/>
      <c r="N200" s="191">
        <f t="shared" si="305"/>
        <v>0.54096045197740117</v>
      </c>
      <c r="O200" s="152">
        <f t="shared" si="306"/>
        <v>1.1484503143794424</v>
      </c>
      <c r="P200" s="152">
        <f t="shared" si="307"/>
        <v>2.5316949152542376</v>
      </c>
      <c r="Q200" s="191">
        <f t="shared" si="308"/>
        <v>7.6563354291962829E-2</v>
      </c>
      <c r="R200" s="191">
        <f t="shared" si="309"/>
        <v>7.1778144648715153E-2</v>
      </c>
      <c r="S200" s="191">
        <f t="shared" si="310"/>
        <v>12.76055904866047</v>
      </c>
      <c r="T200" s="191">
        <f t="shared" si="311"/>
        <v>0.75</v>
      </c>
      <c r="U200" s="191">
        <f t="shared" si="312"/>
        <v>2.7115384615384612</v>
      </c>
      <c r="V200" s="191">
        <f t="shared" si="313"/>
        <v>2.6948389490745668</v>
      </c>
      <c r="W200" s="175">
        <f t="shared" si="314"/>
        <v>350</v>
      </c>
      <c r="X200" s="386">
        <f t="shared" si="315"/>
        <v>184.9667391027757</v>
      </c>
      <c r="Z200" s="191">
        <f t="shared" si="316"/>
        <v>0.39635729807737646</v>
      </c>
      <c r="AA200" s="153">
        <f t="shared" si="317"/>
        <v>1.424158779478496</v>
      </c>
      <c r="AB200" s="153">
        <f t="shared" si="318"/>
        <v>4.7798347754889871E-2</v>
      </c>
      <c r="AC200" s="153"/>
      <c r="AD200" s="153">
        <f t="shared" si="319"/>
        <v>0.53896778981491333</v>
      </c>
      <c r="AE200" s="317">
        <f t="shared" si="320"/>
        <v>2226.4781359422086</v>
      </c>
      <c r="AF200" s="463">
        <f t="shared" si="321"/>
        <v>1.4147904482641473E-2</v>
      </c>
      <c r="AH200" s="153">
        <f t="shared" si="322"/>
        <v>0.58241714126884092</v>
      </c>
      <c r="AI200" s="153">
        <f t="shared" si="323"/>
        <v>0.75</v>
      </c>
      <c r="AJ200" s="153">
        <f t="shared" si="324"/>
        <v>1.6444444444444444</v>
      </c>
      <c r="AL200" s="317">
        <f t="shared" si="325"/>
        <v>90.000000000000014</v>
      </c>
      <c r="AM200" s="147">
        <f t="shared" si="326"/>
        <v>184.9667391027757</v>
      </c>
      <c r="AO200" t="str">
        <f t="shared" si="327"/>
        <v/>
      </c>
      <c r="AP200" t="str">
        <f t="shared" si="328"/>
        <v/>
      </c>
      <c r="AR200" s="5">
        <f t="shared" si="343"/>
        <v>5.4063774106130271</v>
      </c>
      <c r="AS200" s="5">
        <f t="shared" si="335"/>
        <v>2.7115384615384612</v>
      </c>
      <c r="AT200" s="5">
        <f t="shared" si="336"/>
        <v>2.6948389490745659</v>
      </c>
      <c r="AU200" s="153">
        <f t="shared" si="337"/>
        <v>0.50154442718252645</v>
      </c>
      <c r="AW200" s="5">
        <f t="shared" si="275"/>
        <v>1.6269230769230769</v>
      </c>
      <c r="AX200" s="5"/>
      <c r="AY200" s="5">
        <f t="shared" si="276"/>
        <v>1.5252403846153846</v>
      </c>
      <c r="AZ200" s="5"/>
      <c r="BA200" s="5">
        <f t="shared" si="277"/>
        <v>0.41459060754993327</v>
      </c>
      <c r="BB200" s="5"/>
      <c r="BC200" s="5"/>
      <c r="BD200" s="153">
        <f t="shared" si="278"/>
        <v>0.30665873556238982</v>
      </c>
      <c r="BE200" s="153">
        <f t="shared" si="279"/>
        <v>0.30571296979892149</v>
      </c>
      <c r="BF200" s="153">
        <f t="shared" si="280"/>
        <v>0.30611259459604429</v>
      </c>
      <c r="BG200" s="153"/>
      <c r="BH200" s="463">
        <f t="shared" si="281"/>
        <v>3.2913853033853302E-2</v>
      </c>
      <c r="BI200" s="463">
        <f t="shared" si="282"/>
        <v>1.9643467692714783E-2</v>
      </c>
      <c r="BJ200" s="463">
        <f t="shared" si="283"/>
        <v>2.3120842387846958E-3</v>
      </c>
      <c r="BK200" s="463">
        <f t="shared" si="284"/>
        <v>7.4173734007691016E-3</v>
      </c>
      <c r="BL200">
        <f t="shared" si="285"/>
        <v>3.7699999999999999E-3</v>
      </c>
      <c r="BM200">
        <f t="shared" si="329"/>
        <v>3.6993347820555142E-6</v>
      </c>
      <c r="BN200">
        <f t="shared" si="330"/>
        <v>7.0934605764874051E-2</v>
      </c>
      <c r="BO200" s="147">
        <f t="shared" si="286"/>
        <v>66.056778366121875</v>
      </c>
      <c r="BP200" s="153">
        <f t="shared" si="287"/>
        <v>3.6000000000000004E-2</v>
      </c>
      <c r="BQ200" s="153">
        <f t="shared" si="288"/>
        <v>3.6000000000000004E-2</v>
      </c>
      <c r="BR200" s="463"/>
      <c r="BT200" s="147">
        <f t="shared" si="289"/>
        <v>72.000000000000014</v>
      </c>
      <c r="BU200" s="463">
        <f t="shared" si="290"/>
        <v>9.4039580096723724E-2</v>
      </c>
      <c r="BV200" s="463">
        <f t="shared" si="291"/>
        <v>9.3460419903276276E-2</v>
      </c>
      <c r="BW200" s="463">
        <f t="shared" si="292"/>
        <v>4.6852460285161084E-3</v>
      </c>
      <c r="BX200" s="463">
        <f t="shared" si="293"/>
        <v>0</v>
      </c>
      <c r="BY200" s="463">
        <f t="shared" si="274"/>
        <v>0.21860854247347405</v>
      </c>
      <c r="BZ200" s="463">
        <f t="shared" si="344"/>
        <v>0.19218524602851611</v>
      </c>
      <c r="CA200" s="549">
        <f t="shared" si="331"/>
        <v>5.2021895372655683E-2</v>
      </c>
      <c r="CB200" s="147">
        <f t="shared" si="338"/>
        <v>655.00092990316193</v>
      </c>
      <c r="CC200" s="153">
        <f t="shared" si="345"/>
        <v>0.41356504361100377</v>
      </c>
      <c r="CD200" s="5">
        <f t="shared" si="339"/>
        <v>2.79</v>
      </c>
      <c r="CE200" s="153">
        <f t="shared" si="340"/>
        <v>0.87090474581254629</v>
      </c>
      <c r="CF200" s="5">
        <f t="shared" si="341"/>
        <v>87.090474581254625</v>
      </c>
      <c r="CG200">
        <f t="shared" si="342"/>
        <v>90</v>
      </c>
      <c r="CI200" s="59">
        <f t="shared" si="332"/>
        <v>-50</v>
      </c>
      <c r="CJ200">
        <f t="shared" si="333"/>
        <v>-50</v>
      </c>
    </row>
    <row r="201" spans="5:88" x14ac:dyDescent="0.25">
      <c r="E201" s="150">
        <v>91</v>
      </c>
      <c r="F201" s="191">
        <f t="shared" si="334"/>
        <v>9.1000000000000011E-2</v>
      </c>
      <c r="G201" s="191">
        <f t="shared" si="299"/>
        <v>9.1000000000000011E-2</v>
      </c>
      <c r="H201" s="191">
        <f t="shared" si="300"/>
        <v>1.3650000000000002</v>
      </c>
      <c r="I201" s="191">
        <f t="shared" si="301"/>
        <v>1.4560000000000002</v>
      </c>
      <c r="J201" s="472">
        <f t="shared" si="302"/>
        <v>13</v>
      </c>
      <c r="K201" s="386">
        <f t="shared" si="303"/>
        <v>12.940333125048816</v>
      </c>
      <c r="L201" s="386">
        <f t="shared" si="304"/>
        <v>28.32</v>
      </c>
      <c r="M201" s="386"/>
      <c r="N201" s="191">
        <f t="shared" si="305"/>
        <v>0.54096045197740117</v>
      </c>
      <c r="O201" s="152">
        <f t="shared" si="306"/>
        <v>1.1484503143794424</v>
      </c>
      <c r="P201" s="152">
        <f t="shared" si="307"/>
        <v>2.5316949152542376</v>
      </c>
      <c r="Q201" s="191">
        <f t="shared" si="308"/>
        <v>7.6563354291962829E-2</v>
      </c>
      <c r="R201" s="191">
        <f t="shared" si="309"/>
        <v>7.1778144648715153E-2</v>
      </c>
      <c r="S201" s="191">
        <f t="shared" si="310"/>
        <v>12.620333125048816</v>
      </c>
      <c r="T201" s="191">
        <f t="shared" si="311"/>
        <v>0.75</v>
      </c>
      <c r="U201" s="191">
        <f t="shared" si="312"/>
        <v>2.7115384615384612</v>
      </c>
      <c r="V201" s="191">
        <f t="shared" si="313"/>
        <v>2.7240411556149193</v>
      </c>
      <c r="W201" s="175">
        <f t="shared" si="314"/>
        <v>350</v>
      </c>
      <c r="X201" s="386">
        <f t="shared" si="315"/>
        <v>183.9730204381959</v>
      </c>
      <c r="Z201" s="191">
        <f t="shared" si="316"/>
        <v>0.39422790093899129</v>
      </c>
      <c r="AA201" s="153">
        <f t="shared" si="317"/>
        <v>1.4318573691326586</v>
      </c>
      <c r="AB201" s="153">
        <f t="shared" si="318"/>
        <v>4.7798550913794681E-2</v>
      </c>
      <c r="AC201" s="153"/>
      <c r="AD201" s="153">
        <f t="shared" si="319"/>
        <v>0.54480823112298382</v>
      </c>
      <c r="AE201" s="317">
        <f t="shared" si="320"/>
        <v>2227.0833368878348</v>
      </c>
      <c r="AF201" s="463">
        <f t="shared" si="321"/>
        <v>1.4301216066978326E-2</v>
      </c>
      <c r="AH201" s="153">
        <f t="shared" si="322"/>
        <v>0.58564385372362215</v>
      </c>
      <c r="AI201" s="153">
        <f t="shared" si="323"/>
        <v>0.75</v>
      </c>
      <c r="AJ201" s="153">
        <f t="shared" si="324"/>
        <v>1.6444444444444444</v>
      </c>
      <c r="AL201" s="317">
        <f t="shared" si="325"/>
        <v>91.000000000000014</v>
      </c>
      <c r="AM201" s="147">
        <f t="shared" si="326"/>
        <v>183.9730204381959</v>
      </c>
      <c r="AO201" t="str">
        <f t="shared" si="327"/>
        <v/>
      </c>
      <c r="AP201" t="str">
        <f t="shared" si="328"/>
        <v/>
      </c>
      <c r="AR201" s="5">
        <f t="shared" si="343"/>
        <v>5.4355796171533806</v>
      </c>
      <c r="AS201" s="5">
        <f t="shared" si="335"/>
        <v>2.7115384615384612</v>
      </c>
      <c r="AT201" s="5">
        <f t="shared" si="336"/>
        <v>2.7240411556149193</v>
      </c>
      <c r="AU201" s="153">
        <f t="shared" si="337"/>
        <v>0.49884992080356966</v>
      </c>
      <c r="AW201" s="5">
        <f t="shared" si="275"/>
        <v>1.645</v>
      </c>
      <c r="AX201" s="5"/>
      <c r="AY201" s="5">
        <f t="shared" si="276"/>
        <v>1.5421875</v>
      </c>
      <c r="AZ201" s="5"/>
      <c r="BA201" s="5">
        <f t="shared" si="277"/>
        <v>0.4237397353178764</v>
      </c>
      <c r="BB201" s="5"/>
      <c r="BC201" s="5"/>
      <c r="BD201" s="153">
        <f t="shared" si="278"/>
        <v>0.30583387672177409</v>
      </c>
      <c r="BE201" s="153">
        <f t="shared" si="279"/>
        <v>0.30653815398630346</v>
      </c>
      <c r="BF201" s="153">
        <f t="shared" si="280"/>
        <v>0.30693885745556659</v>
      </c>
      <c r="BG201" s="153"/>
      <c r="BH201" s="463">
        <f t="shared" si="281"/>
        <v>3.2737026052734257E-2</v>
      </c>
      <c r="BI201" s="463">
        <f t="shared" si="282"/>
        <v>1.9537934770536405E-2</v>
      </c>
      <c r="BJ201" s="463">
        <f t="shared" si="283"/>
        <v>2.2996627554774485E-3</v>
      </c>
      <c r="BK201" s="463">
        <f t="shared" si="284"/>
        <v>7.3775241693545468E-3</v>
      </c>
      <c r="BL201">
        <f t="shared" si="285"/>
        <v>3.7699999999999999E-3</v>
      </c>
      <c r="BM201">
        <f t="shared" si="329"/>
        <v>3.6794604087639183E-6</v>
      </c>
      <c r="BN201">
        <f t="shared" si="330"/>
        <v>7.057157672986536E-2</v>
      </c>
      <c r="BO201" s="147">
        <f t="shared" si="286"/>
        <v>65.722147748102657</v>
      </c>
      <c r="BP201" s="153">
        <f t="shared" si="287"/>
        <v>3.6400000000000009E-2</v>
      </c>
      <c r="BQ201" s="153">
        <f t="shared" si="288"/>
        <v>3.6400000000000009E-2</v>
      </c>
      <c r="BR201" s="463"/>
      <c r="BT201" s="147">
        <f t="shared" si="289"/>
        <v>72.800000000000011</v>
      </c>
      <c r="BU201" s="463">
        <f t="shared" si="290"/>
        <v>9.3534360150669307E-2</v>
      </c>
      <c r="BV201" s="463">
        <f t="shared" si="291"/>
        <v>9.3965639849330693E-2</v>
      </c>
      <c r="BW201" s="463">
        <f t="shared" si="292"/>
        <v>4.7105731108064318E-3</v>
      </c>
      <c r="BX201" s="463">
        <f t="shared" si="293"/>
        <v>0</v>
      </c>
      <c r="BY201" s="463">
        <f t="shared" si="274"/>
        <v>0.21863780165691626</v>
      </c>
      <c r="BZ201" s="463">
        <f t="shared" si="344"/>
        <v>0.19221057311080644</v>
      </c>
      <c r="CA201" s="549">
        <f t="shared" si="331"/>
        <v>5.1742411998242609E-2</v>
      </c>
      <c r="CB201" s="147">
        <f t="shared" si="338"/>
        <v>654.80135987677181</v>
      </c>
      <c r="CC201" s="153">
        <f t="shared" si="345"/>
        <v>0.41375179038502424</v>
      </c>
      <c r="CD201" s="5">
        <f t="shared" si="339"/>
        <v>2.8210000000000006</v>
      </c>
      <c r="CE201" s="153">
        <f t="shared" si="340"/>
        <v>0.87209164189510313</v>
      </c>
      <c r="CF201" s="5">
        <f t="shared" si="341"/>
        <v>87.209164189510318</v>
      </c>
      <c r="CG201">
        <f t="shared" si="342"/>
        <v>91</v>
      </c>
      <c r="CI201" s="59">
        <f t="shared" si="332"/>
        <v>-50</v>
      </c>
      <c r="CJ201">
        <f t="shared" si="333"/>
        <v>-50</v>
      </c>
    </row>
    <row r="202" spans="5:88" x14ac:dyDescent="0.25">
      <c r="E202" s="150">
        <v>92</v>
      </c>
      <c r="F202" s="191">
        <f t="shared" si="334"/>
        <v>9.2000000000000012E-2</v>
      </c>
      <c r="G202" s="191">
        <f t="shared" si="299"/>
        <v>9.2000000000000012E-2</v>
      </c>
      <c r="H202" s="191">
        <f t="shared" si="300"/>
        <v>1.3800000000000001</v>
      </c>
      <c r="I202" s="191">
        <f t="shared" si="301"/>
        <v>1.4720000000000002</v>
      </c>
      <c r="J202" s="472">
        <f t="shared" si="302"/>
        <v>13</v>
      </c>
      <c r="K202" s="386">
        <f t="shared" si="303"/>
        <v>12.803155591080895</v>
      </c>
      <c r="L202" s="386">
        <f t="shared" si="304"/>
        <v>28.32</v>
      </c>
      <c r="M202" s="386"/>
      <c r="N202" s="191">
        <f t="shared" si="305"/>
        <v>0.54096045197740117</v>
      </c>
      <c r="O202" s="152">
        <f t="shared" si="306"/>
        <v>1.1484503143794424</v>
      </c>
      <c r="P202" s="152">
        <f t="shared" si="307"/>
        <v>2.5316949152542376</v>
      </c>
      <c r="Q202" s="191">
        <f t="shared" si="308"/>
        <v>7.6563354291962829E-2</v>
      </c>
      <c r="R202" s="191">
        <f t="shared" si="309"/>
        <v>7.1778144648715153E-2</v>
      </c>
      <c r="S202" s="191">
        <f t="shared" si="310"/>
        <v>12.483155591080894</v>
      </c>
      <c r="T202" s="191">
        <f t="shared" si="311"/>
        <v>0.75</v>
      </c>
      <c r="U202" s="191">
        <f t="shared" si="312"/>
        <v>2.7115384615384612</v>
      </c>
      <c r="V202" s="191">
        <f t="shared" si="313"/>
        <v>2.7532274953025113</v>
      </c>
      <c r="W202" s="175">
        <f t="shared" si="314"/>
        <v>350</v>
      </c>
      <c r="X202" s="386">
        <f t="shared" si="315"/>
        <v>182.99045336940137</v>
      </c>
      <c r="Z202" s="191">
        <f t="shared" si="316"/>
        <v>0.3921224000772886</v>
      </c>
      <c r="AA202" s="153">
        <f t="shared" si="317"/>
        <v>1.4394695645557369</v>
      </c>
      <c r="AB202" s="153">
        <f t="shared" si="318"/>
        <v>4.7796022057773807E-2</v>
      </c>
      <c r="AC202" s="153"/>
      <c r="AD202" s="153">
        <f t="shared" si="319"/>
        <v>0.5506454990605022</v>
      </c>
      <c r="AE202" s="317">
        <f t="shared" si="320"/>
        <v>2227.6885378334609</v>
      </c>
      <c r="AF202" s="463">
        <f t="shared" si="321"/>
        <v>1.4454444350338184E-2</v>
      </c>
      <c r="AH202" s="153">
        <f t="shared" si="322"/>
        <v>0.58885288516295964</v>
      </c>
      <c r="AI202" s="153">
        <f t="shared" si="323"/>
        <v>0.75</v>
      </c>
      <c r="AJ202" s="153">
        <f t="shared" si="324"/>
        <v>1.6444444444444444</v>
      </c>
      <c r="AL202" s="317">
        <f t="shared" si="325"/>
        <v>92.000000000000014</v>
      </c>
      <c r="AM202" s="147">
        <f t="shared" si="326"/>
        <v>182.99045336940137</v>
      </c>
      <c r="AO202" t="str">
        <f t="shared" si="327"/>
        <v/>
      </c>
      <c r="AP202" t="str">
        <f t="shared" si="328"/>
        <v/>
      </c>
      <c r="AR202" s="5">
        <f t="shared" si="343"/>
        <v>5.4647659568409725</v>
      </c>
      <c r="AS202" s="5">
        <f t="shared" si="335"/>
        <v>2.7115384615384612</v>
      </c>
      <c r="AT202" s="5">
        <f t="shared" si="336"/>
        <v>2.7532274953025113</v>
      </c>
      <c r="AU202" s="153">
        <f t="shared" si="337"/>
        <v>0.49618565240549212</v>
      </c>
      <c r="AW202" s="5">
        <f t="shared" si="275"/>
        <v>1.6630769230769231</v>
      </c>
      <c r="AX202" s="5"/>
      <c r="AY202" s="5">
        <f t="shared" si="276"/>
        <v>1.5591346153846155</v>
      </c>
      <c r="AZ202" s="5"/>
      <c r="BA202" s="5">
        <f t="shared" si="277"/>
        <v>0.43298620438945479</v>
      </c>
      <c r="BB202" s="5"/>
      <c r="BC202" s="5"/>
      <c r="BD202" s="153">
        <f t="shared" si="278"/>
        <v>0.30501608125807034</v>
      </c>
      <c r="BE202" s="153">
        <f t="shared" si="279"/>
        <v>0.3073518995776181</v>
      </c>
      <c r="BF202" s="153">
        <f t="shared" si="280"/>
        <v>0.30775366676660842</v>
      </c>
      <c r="BG202" s="153"/>
      <c r="BH202" s="463">
        <f t="shared" si="281"/>
        <v>3.2562183439110416E-2</v>
      </c>
      <c r="BI202" s="463">
        <f t="shared" si="282"/>
        <v>1.9433586147830428E-2</v>
      </c>
      <c r="BJ202" s="463">
        <f t="shared" si="283"/>
        <v>2.2873806671175169E-3</v>
      </c>
      <c r="BK202" s="463">
        <f t="shared" si="284"/>
        <v>7.3381221294207691E-3</v>
      </c>
      <c r="BL202">
        <f t="shared" si="285"/>
        <v>3.7699999999999999E-3</v>
      </c>
      <c r="BM202">
        <f t="shared" si="329"/>
        <v>3.6598090673880275E-6</v>
      </c>
      <c r="BN202">
        <f t="shared" si="330"/>
        <v>7.0212645068578813E-2</v>
      </c>
      <c r="BO202" s="147">
        <f t="shared" si="286"/>
        <v>65.391272383479119</v>
      </c>
      <c r="BP202" s="153">
        <f t="shared" si="287"/>
        <v>3.6800000000000006E-2</v>
      </c>
      <c r="BQ202" s="153">
        <f t="shared" si="288"/>
        <v>3.6800000000000006E-2</v>
      </c>
      <c r="BR202" s="463"/>
      <c r="BT202" s="147">
        <f t="shared" si="289"/>
        <v>73.600000000000009</v>
      </c>
      <c r="BU202" s="463">
        <f t="shared" si="290"/>
        <v>9.3034809826029768E-2</v>
      </c>
      <c r="BV202" s="463">
        <f t="shared" si="291"/>
        <v>9.4465190173970245E-2</v>
      </c>
      <c r="BW202" s="463">
        <f t="shared" si="292"/>
        <v>4.7356159704146335E-3</v>
      </c>
      <c r="BX202" s="463">
        <f t="shared" si="293"/>
        <v>0</v>
      </c>
      <c r="BY202" s="463">
        <f t="shared" si="274"/>
        <v>0.21866673260970154</v>
      </c>
      <c r="BZ202" s="463">
        <f t="shared" si="344"/>
        <v>0.19223561597041464</v>
      </c>
      <c r="CA202" s="549">
        <f t="shared" si="331"/>
        <v>5.1466065010144141E-2</v>
      </c>
      <c r="CB202" s="147">
        <f t="shared" si="338"/>
        <v>654.60402956067503</v>
      </c>
      <c r="CC202" s="153">
        <f t="shared" si="345"/>
        <v>0.41394544268842448</v>
      </c>
      <c r="CD202" s="5">
        <f t="shared" si="339"/>
        <v>2.8520000000000003</v>
      </c>
      <c r="CE202" s="153">
        <f t="shared" si="340"/>
        <v>0.87325402400241026</v>
      </c>
      <c r="CF202" s="5">
        <f t="shared" si="341"/>
        <v>87.325402400241032</v>
      </c>
      <c r="CG202">
        <f t="shared" si="342"/>
        <v>92</v>
      </c>
      <c r="CI202" s="59">
        <f t="shared" si="332"/>
        <v>-50</v>
      </c>
      <c r="CJ202">
        <f t="shared" si="333"/>
        <v>-50</v>
      </c>
    </row>
    <row r="203" spans="5:88" x14ac:dyDescent="0.25">
      <c r="E203" s="150">
        <v>93</v>
      </c>
      <c r="F203" s="191">
        <f t="shared" si="334"/>
        <v>9.3000000000000013E-2</v>
      </c>
      <c r="G203" s="191">
        <f t="shared" si="299"/>
        <v>9.3000000000000013E-2</v>
      </c>
      <c r="H203" s="191">
        <f t="shared" si="300"/>
        <v>1.3950000000000002</v>
      </c>
      <c r="I203" s="191">
        <f t="shared" si="301"/>
        <v>1.4880000000000002</v>
      </c>
      <c r="J203" s="472">
        <f t="shared" si="302"/>
        <v>13</v>
      </c>
      <c r="K203" s="386">
        <f t="shared" si="303"/>
        <v>12.668928111606906</v>
      </c>
      <c r="L203" s="386">
        <f t="shared" si="304"/>
        <v>28.32</v>
      </c>
      <c r="M203" s="386"/>
      <c r="N203" s="191">
        <f t="shared" si="305"/>
        <v>0.54096045197740117</v>
      </c>
      <c r="O203" s="152">
        <f t="shared" si="306"/>
        <v>1.1484503143794424</v>
      </c>
      <c r="P203" s="152">
        <f t="shared" si="307"/>
        <v>2.5316949152542376</v>
      </c>
      <c r="Q203" s="191">
        <f t="shared" si="308"/>
        <v>7.6563354291962829E-2</v>
      </c>
      <c r="R203" s="191">
        <f t="shared" si="309"/>
        <v>7.1778144648715153E-2</v>
      </c>
      <c r="S203" s="191">
        <f t="shared" si="310"/>
        <v>12.348928111606906</v>
      </c>
      <c r="T203" s="191">
        <f t="shared" si="311"/>
        <v>0.75</v>
      </c>
      <c r="U203" s="191">
        <f t="shared" si="312"/>
        <v>2.7115384615384612</v>
      </c>
      <c r="V203" s="191">
        <f t="shared" si="313"/>
        <v>2.7823979810655777</v>
      </c>
      <c r="W203" s="175">
        <f t="shared" si="314"/>
        <v>350</v>
      </c>
      <c r="X203" s="386">
        <f t="shared" si="315"/>
        <v>182.01885122755732</v>
      </c>
      <c r="Z203" s="191">
        <f t="shared" si="316"/>
        <v>0.39004039548762276</v>
      </c>
      <c r="AA203" s="153">
        <f t="shared" si="317"/>
        <v>1.4469968119183747</v>
      </c>
      <c r="AB203" s="153">
        <f t="shared" si="318"/>
        <v>4.7790852357215377E-2</v>
      </c>
      <c r="AC203" s="153"/>
      <c r="AD203" s="153">
        <f t="shared" si="319"/>
        <v>0.55647959621311549</v>
      </c>
      <c r="AE203" s="317">
        <f t="shared" si="320"/>
        <v>2228.293738779088</v>
      </c>
      <c r="AF203" s="463">
        <f t="shared" si="321"/>
        <v>1.4607589400594281E-2</v>
      </c>
      <c r="AH203" s="153">
        <f t="shared" si="322"/>
        <v>0.59204452309368427</v>
      </c>
      <c r="AI203" s="153">
        <f t="shared" si="323"/>
        <v>0.75</v>
      </c>
      <c r="AJ203" s="153">
        <f t="shared" si="324"/>
        <v>1.6444444444444444</v>
      </c>
      <c r="AL203" s="317">
        <f t="shared" si="325"/>
        <v>93.000000000000014</v>
      </c>
      <c r="AM203" s="147">
        <f t="shared" si="326"/>
        <v>182.01885122755732</v>
      </c>
      <c r="AO203" t="str">
        <f t="shared" si="327"/>
        <v/>
      </c>
      <c r="AP203" t="str">
        <f t="shared" si="328"/>
        <v/>
      </c>
      <c r="AR203" s="5">
        <f t="shared" si="343"/>
        <v>5.4939364426040393</v>
      </c>
      <c r="AS203" s="5">
        <f t="shared" si="335"/>
        <v>2.7115384615384612</v>
      </c>
      <c r="AT203" s="5">
        <f t="shared" si="336"/>
        <v>2.7823979810655781</v>
      </c>
      <c r="AU203" s="153">
        <f t="shared" si="337"/>
        <v>0.49355111582856875</v>
      </c>
      <c r="AW203" s="5">
        <f t="shared" si="275"/>
        <v>1.6811538461538462</v>
      </c>
      <c r="AX203" s="5"/>
      <c r="AY203" s="5">
        <f t="shared" si="276"/>
        <v>1.576081730769231</v>
      </c>
      <c r="AZ203" s="5"/>
      <c r="BA203" s="5">
        <f t="shared" si="277"/>
        <v>0.44232993545145094</v>
      </c>
      <c r="BB203" s="5"/>
      <c r="BC203" s="5"/>
      <c r="BD203" s="153">
        <f t="shared" si="278"/>
        <v>0.30420525014840993</v>
      </c>
      <c r="BE203" s="153">
        <f t="shared" si="279"/>
        <v>0.30815445118015633</v>
      </c>
      <c r="BF203" s="153">
        <f t="shared" si="280"/>
        <v>0.30855726745620882</v>
      </c>
      <c r="BG203" s="153"/>
      <c r="BH203" s="463">
        <f t="shared" si="281"/>
        <v>3.2389291976249832E-2</v>
      </c>
      <c r="BI203" s="463">
        <f t="shared" si="282"/>
        <v>1.9330402000366589E-2</v>
      </c>
      <c r="BJ203" s="463">
        <f t="shared" si="283"/>
        <v>2.2752356403444663E-3</v>
      </c>
      <c r="BK203" s="463">
        <f t="shared" si="284"/>
        <v>7.299159795338424E-3</v>
      </c>
      <c r="BL203">
        <f t="shared" si="285"/>
        <v>3.7699999999999999E-3</v>
      </c>
      <c r="BM203">
        <f t="shared" si="329"/>
        <v>3.6403770245511465E-6</v>
      </c>
      <c r="BN203">
        <f t="shared" si="330"/>
        <v>6.9857741801984369E-2</v>
      </c>
      <c r="BO203" s="147">
        <f t="shared" si="286"/>
        <v>65.06408941229931</v>
      </c>
      <c r="BP203" s="153">
        <f t="shared" si="287"/>
        <v>3.7200000000000004E-2</v>
      </c>
      <c r="BQ203" s="153">
        <f t="shared" si="288"/>
        <v>3.7200000000000004E-2</v>
      </c>
      <c r="BR203" s="463"/>
      <c r="BT203" s="147">
        <f t="shared" si="289"/>
        <v>74.400000000000006</v>
      </c>
      <c r="BU203" s="463">
        <f t="shared" si="290"/>
        <v>9.2540834217856666E-2</v>
      </c>
      <c r="BV203" s="463">
        <f t="shared" si="291"/>
        <v>9.4959165782143348E-2</v>
      </c>
      <c r="BW203" s="463">
        <f t="shared" si="292"/>
        <v>4.7603793650021192E-3</v>
      </c>
      <c r="BX203" s="463">
        <f t="shared" si="293"/>
        <v>0</v>
      </c>
      <c r="BY203" s="463">
        <f t="shared" si="274"/>
        <v>0.2186953408241796</v>
      </c>
      <c r="BZ203" s="463">
        <f t="shared" si="344"/>
        <v>0.19226037936500212</v>
      </c>
      <c r="CA203" s="549">
        <f t="shared" si="331"/>
        <v>5.119280190775051E-2</v>
      </c>
      <c r="CB203" s="147">
        <f t="shared" si="338"/>
        <v>654.40890146193431</v>
      </c>
      <c r="CC203" s="153">
        <f t="shared" si="345"/>
        <v>0.41414588453391449</v>
      </c>
      <c r="CD203" s="5">
        <f t="shared" si="339"/>
        <v>2.8830000000000005</v>
      </c>
      <c r="CE203" s="153">
        <f t="shared" si="340"/>
        <v>0.87439261135621293</v>
      </c>
      <c r="CF203" s="5">
        <f t="shared" si="341"/>
        <v>87.439261135621294</v>
      </c>
      <c r="CG203">
        <f t="shared" si="342"/>
        <v>93</v>
      </c>
      <c r="CI203" s="59">
        <f t="shared" si="332"/>
        <v>-50</v>
      </c>
      <c r="CJ203">
        <f t="shared" si="333"/>
        <v>-50</v>
      </c>
    </row>
    <row r="204" spans="5:88" x14ac:dyDescent="0.25">
      <c r="E204" s="150">
        <v>94</v>
      </c>
      <c r="F204" s="191">
        <f t="shared" si="334"/>
        <v>9.4E-2</v>
      </c>
      <c r="G204" s="191">
        <f t="shared" si="299"/>
        <v>9.4E-2</v>
      </c>
      <c r="H204" s="191">
        <f t="shared" si="300"/>
        <v>1.41</v>
      </c>
      <c r="I204" s="191">
        <f t="shared" si="301"/>
        <v>1.504</v>
      </c>
      <c r="J204" s="472">
        <f t="shared" si="302"/>
        <v>13</v>
      </c>
      <c r="K204" s="386">
        <f t="shared" si="303"/>
        <v>12.537556535951516</v>
      </c>
      <c r="L204" s="386">
        <f t="shared" si="304"/>
        <v>28.32</v>
      </c>
      <c r="M204" s="386"/>
      <c r="N204" s="191">
        <f t="shared" si="305"/>
        <v>0.54096045197740117</v>
      </c>
      <c r="O204" s="152">
        <f t="shared" si="306"/>
        <v>1.1484503143794424</v>
      </c>
      <c r="P204" s="152">
        <f t="shared" si="307"/>
        <v>2.5316949152542376</v>
      </c>
      <c r="Q204" s="191">
        <f t="shared" si="308"/>
        <v>7.6563354291962829E-2</v>
      </c>
      <c r="R204" s="191">
        <f t="shared" si="309"/>
        <v>7.1778144648715153E-2</v>
      </c>
      <c r="S204" s="191">
        <f t="shared" si="310"/>
        <v>12.217556535951516</v>
      </c>
      <c r="T204" s="191">
        <f t="shared" si="311"/>
        <v>0.75</v>
      </c>
      <c r="U204" s="191">
        <f t="shared" si="312"/>
        <v>2.7115384615384612</v>
      </c>
      <c r="V204" s="191">
        <f t="shared" si="313"/>
        <v>2.8115526258183094</v>
      </c>
      <c r="W204" s="175">
        <f t="shared" si="314"/>
        <v>350</v>
      </c>
      <c r="X204" s="386">
        <f t="shared" si="315"/>
        <v>181.05803148696177</v>
      </c>
      <c r="Z204" s="191">
        <f t="shared" si="316"/>
        <v>0.38798149604348947</v>
      </c>
      <c r="AA204" s="153">
        <f t="shared" si="317"/>
        <v>1.4544405252933186</v>
      </c>
      <c r="AB204" s="153">
        <f t="shared" si="318"/>
        <v>4.7783129956053182E-2</v>
      </c>
      <c r="AC204" s="153"/>
      <c r="AD204" s="153">
        <f t="shared" si="319"/>
        <v>0.56231052516366198</v>
      </c>
      <c r="AE204" s="317">
        <f t="shared" si="320"/>
        <v>2228.8989397247142</v>
      </c>
      <c r="AF204" s="463">
        <f t="shared" si="321"/>
        <v>1.4760651285546126E-2</v>
      </c>
      <c r="AH204" s="153">
        <f t="shared" si="322"/>
        <v>0.59521904731427588</v>
      </c>
      <c r="AI204" s="153">
        <f t="shared" si="323"/>
        <v>0.75</v>
      </c>
      <c r="AJ204" s="153">
        <f t="shared" si="324"/>
        <v>1.6444444444444444</v>
      </c>
      <c r="AL204" s="317">
        <f t="shared" si="325"/>
        <v>94</v>
      </c>
      <c r="AM204" s="147">
        <f t="shared" si="326"/>
        <v>181.05803148696177</v>
      </c>
      <c r="AO204" t="str">
        <f t="shared" si="327"/>
        <v/>
      </c>
      <c r="AP204" t="str">
        <f t="shared" si="328"/>
        <v/>
      </c>
      <c r="AR204" s="5">
        <f t="shared" si="343"/>
        <v>5.5230910873567698</v>
      </c>
      <c r="AS204" s="5">
        <f t="shared" si="335"/>
        <v>2.7115384615384612</v>
      </c>
      <c r="AT204" s="5">
        <f t="shared" si="336"/>
        <v>2.8115526258183086</v>
      </c>
      <c r="AU204" s="153">
        <f t="shared" si="337"/>
        <v>0.49094581614733862</v>
      </c>
      <c r="AW204" s="5">
        <f t="shared" si="275"/>
        <v>1.6992307692307691</v>
      </c>
      <c r="AX204" s="5"/>
      <c r="AY204" s="5">
        <f t="shared" si="276"/>
        <v>1.593028846153846</v>
      </c>
      <c r="AZ204" s="5"/>
      <c r="BA204" s="5">
        <f t="shared" si="277"/>
        <v>0.45177084927678801</v>
      </c>
      <c r="BB204" s="5"/>
      <c r="BC204" s="5"/>
      <c r="BD204" s="153">
        <f t="shared" si="278"/>
        <v>0.30340128629856861</v>
      </c>
      <c r="BE204" s="153">
        <f t="shared" si="279"/>
        <v>0.30894604621579802</v>
      </c>
      <c r="BF204" s="153">
        <f t="shared" si="280"/>
        <v>0.30934989725660306</v>
      </c>
      <c r="BG204" s="153"/>
      <c r="BH204" s="463">
        <f t="shared" si="281"/>
        <v>3.2218319184669095E-2</v>
      </c>
      <c r="BI204" s="463">
        <f t="shared" si="282"/>
        <v>1.9228362943915344E-2</v>
      </c>
      <c r="BJ204" s="463">
        <f t="shared" si="283"/>
        <v>2.2632253935870221E-3</v>
      </c>
      <c r="BK204" s="463">
        <f t="shared" si="284"/>
        <v>7.2606298476224325E-3</v>
      </c>
      <c r="BL204">
        <f t="shared" si="285"/>
        <v>3.7699999999999999E-3</v>
      </c>
      <c r="BM204">
        <f t="shared" si="329"/>
        <v>3.6211606297392353E-6</v>
      </c>
      <c r="BN204">
        <f t="shared" si="330"/>
        <v>6.9506799490755319E-2</v>
      </c>
      <c r="BO204" s="147">
        <f t="shared" si="286"/>
        <v>64.740537369793898</v>
      </c>
      <c r="BP204" s="153">
        <f t="shared" si="287"/>
        <v>3.7600000000000001E-2</v>
      </c>
      <c r="BQ204" s="153">
        <f t="shared" si="288"/>
        <v>3.7600000000000001E-2</v>
      </c>
      <c r="BR204" s="463"/>
      <c r="BT204" s="147">
        <f t="shared" si="289"/>
        <v>75.2</v>
      </c>
      <c r="BU204" s="463">
        <f t="shared" si="290"/>
        <v>9.2052340527625995E-2</v>
      </c>
      <c r="BV204" s="463">
        <f t="shared" si="291"/>
        <v>9.5447659472374005E-2</v>
      </c>
      <c r="BW204" s="463">
        <f t="shared" si="292"/>
        <v>4.7848679466335441E-3</v>
      </c>
      <c r="BX204" s="463">
        <f t="shared" si="293"/>
        <v>0</v>
      </c>
      <c r="BY204" s="463">
        <f t="shared" si="274"/>
        <v>0.21872363167084044</v>
      </c>
      <c r="BZ204" s="463">
        <f t="shared" si="344"/>
        <v>0.19228486794663355</v>
      </c>
      <c r="CA204" s="549">
        <f t="shared" si="331"/>
        <v>5.0922571355708011E-2</v>
      </c>
      <c r="CB204" s="147">
        <f t="shared" si="338"/>
        <v>654.21593891981558</v>
      </c>
      <c r="CC204" s="153">
        <f t="shared" si="345"/>
        <v>0.41435300251730378</v>
      </c>
      <c r="CD204" s="5">
        <f t="shared" si="339"/>
        <v>2.9139999999999997</v>
      </c>
      <c r="CE204" s="153">
        <f t="shared" si="340"/>
        <v>0.87550809598503521</v>
      </c>
      <c r="CF204" s="5">
        <f t="shared" si="341"/>
        <v>87.55080959850352</v>
      </c>
      <c r="CG204">
        <f t="shared" si="342"/>
        <v>94</v>
      </c>
      <c r="CI204" s="59">
        <f t="shared" si="332"/>
        <v>-50</v>
      </c>
      <c r="CJ204">
        <f t="shared" si="333"/>
        <v>-50</v>
      </c>
    </row>
    <row r="205" spans="5:88" x14ac:dyDescent="0.25">
      <c r="E205" s="150">
        <v>95</v>
      </c>
      <c r="F205" s="191">
        <f t="shared" si="334"/>
        <v>9.5000000000000001E-2</v>
      </c>
      <c r="G205" s="191">
        <f t="shared" si="299"/>
        <v>9.5000000000000001E-2</v>
      </c>
      <c r="H205" s="191">
        <f t="shared" si="300"/>
        <v>1.425</v>
      </c>
      <c r="I205" s="191">
        <f t="shared" si="301"/>
        <v>1.52</v>
      </c>
      <c r="J205" s="472">
        <f t="shared" si="302"/>
        <v>13</v>
      </c>
      <c r="K205" s="386">
        <f t="shared" si="303"/>
        <v>12.408950677678341</v>
      </c>
      <c r="L205" s="386">
        <f t="shared" si="304"/>
        <v>28.32</v>
      </c>
      <c r="M205" s="386"/>
      <c r="N205" s="191">
        <f t="shared" si="305"/>
        <v>0.54096045197740117</v>
      </c>
      <c r="O205" s="152">
        <f t="shared" si="306"/>
        <v>1.1484503143794424</v>
      </c>
      <c r="P205" s="152">
        <f t="shared" si="307"/>
        <v>2.5316949152542376</v>
      </c>
      <c r="Q205" s="191">
        <f t="shared" si="308"/>
        <v>7.6563354291962829E-2</v>
      </c>
      <c r="R205" s="191">
        <f t="shared" si="309"/>
        <v>7.1778144648715153E-2</v>
      </c>
      <c r="S205" s="191">
        <f t="shared" si="310"/>
        <v>12.088950677678341</v>
      </c>
      <c r="T205" s="191">
        <f t="shared" si="311"/>
        <v>0.75</v>
      </c>
      <c r="U205" s="191">
        <f t="shared" si="312"/>
        <v>2.7115384615384612</v>
      </c>
      <c r="V205" s="191">
        <f t="shared" si="313"/>
        <v>2.8406914424608796</v>
      </c>
      <c r="W205" s="175">
        <f t="shared" si="314"/>
        <v>350</v>
      </c>
      <c r="X205" s="386">
        <f t="shared" si="315"/>
        <v>180.10781565073293</v>
      </c>
      <c r="Z205" s="191">
        <f t="shared" si="316"/>
        <v>0.38594531925157055</v>
      </c>
      <c r="AA205" s="153">
        <f t="shared" si="317"/>
        <v>1.4618020875410249</v>
      </c>
      <c r="AB205" s="153">
        <f t="shared" si="318"/>
        <v>4.7772940082787478E-2</v>
      </c>
      <c r="AC205" s="153"/>
      <c r="AD205" s="153">
        <f t="shared" si="319"/>
        <v>0.56813828849217585</v>
      </c>
      <c r="AE205" s="317">
        <f t="shared" si="320"/>
        <v>2229.5041406703408</v>
      </c>
      <c r="AF205" s="463">
        <f t="shared" si="321"/>
        <v>1.4913630072919615E-2</v>
      </c>
      <c r="AH205" s="153">
        <f t="shared" si="322"/>
        <v>0.59837673020113391</v>
      </c>
      <c r="AI205" s="153">
        <f t="shared" si="323"/>
        <v>0.75</v>
      </c>
      <c r="AJ205" s="153">
        <f t="shared" si="324"/>
        <v>1.6444444444444444</v>
      </c>
      <c r="AL205" s="317">
        <f t="shared" si="325"/>
        <v>95</v>
      </c>
      <c r="AM205" s="147">
        <f t="shared" si="326"/>
        <v>180.10781565073293</v>
      </c>
      <c r="AO205" t="str">
        <f t="shared" si="327"/>
        <v/>
      </c>
      <c r="AP205" t="str">
        <f t="shared" si="328"/>
        <v/>
      </c>
      <c r="AR205" s="5">
        <f t="shared" si="343"/>
        <v>5.5522299039993408</v>
      </c>
      <c r="AS205" s="5">
        <f t="shared" si="335"/>
        <v>2.7115384615384612</v>
      </c>
      <c r="AT205" s="5">
        <f t="shared" si="336"/>
        <v>2.8406914424608796</v>
      </c>
      <c r="AU205" s="153">
        <f t="shared" si="337"/>
        <v>0.48836926936064123</v>
      </c>
      <c r="AW205" s="5">
        <f t="shared" si="275"/>
        <v>1.717307692307692</v>
      </c>
      <c r="AX205" s="5"/>
      <c r="AY205" s="5">
        <f t="shared" si="276"/>
        <v>1.6099759615384612</v>
      </c>
      <c r="AZ205" s="5"/>
      <c r="BA205" s="5">
        <f t="shared" si="277"/>
        <v>0.46130886672441634</v>
      </c>
      <c r="BB205" s="5"/>
      <c r="BC205" s="5"/>
      <c r="BD205" s="153">
        <f t="shared" si="278"/>
        <v>0.30260409449496917</v>
      </c>
      <c r="BE205" s="153">
        <f t="shared" si="279"/>
        <v>0.30972691519285145</v>
      </c>
      <c r="BF205" s="153">
        <f t="shared" si="280"/>
        <v>0.31013178697741728</v>
      </c>
      <c r="BG205" s="153"/>
      <c r="BH205" s="463">
        <f t="shared" si="281"/>
        <v>3.2049233301792081E-2</v>
      </c>
      <c r="BI205" s="463">
        <f t="shared" si="282"/>
        <v>1.9127450022107841E-2</v>
      </c>
      <c r="BJ205" s="463">
        <f t="shared" si="283"/>
        <v>2.2513476956341617E-3</v>
      </c>
      <c r="BK205" s="463">
        <f t="shared" si="284"/>
        <v>7.2225251283479204E-3</v>
      </c>
      <c r="BL205">
        <f t="shared" si="285"/>
        <v>3.7699999999999999E-3</v>
      </c>
      <c r="BM205">
        <f t="shared" si="329"/>
        <v>3.6021563130146586E-6</v>
      </c>
      <c r="BN205">
        <f t="shared" si="330"/>
        <v>6.9159752192546303E-2</v>
      </c>
      <c r="BO205" s="147">
        <f t="shared" si="286"/>
        <v>64.420556147881996</v>
      </c>
      <c r="BP205" s="153">
        <f t="shared" si="287"/>
        <v>3.8000000000000006E-2</v>
      </c>
      <c r="BQ205" s="153">
        <f t="shared" si="288"/>
        <v>3.8000000000000006E-2</v>
      </c>
      <c r="BR205" s="463"/>
      <c r="BT205" s="147">
        <f t="shared" si="289"/>
        <v>76.000000000000014</v>
      </c>
      <c r="BU205" s="463">
        <f t="shared" si="290"/>
        <v>9.1569238005120235E-2</v>
      </c>
      <c r="BV205" s="463">
        <f t="shared" si="291"/>
        <v>9.5930761994879793E-2</v>
      </c>
      <c r="BW205" s="463">
        <f t="shared" si="292"/>
        <v>4.8090862646903067E-3</v>
      </c>
      <c r="BX205" s="463">
        <f t="shared" si="293"/>
        <v>0</v>
      </c>
      <c r="BY205" s="463">
        <f t="shared" si="274"/>
        <v>0.21875161040167526</v>
      </c>
      <c r="BZ205" s="463">
        <f t="shared" si="344"/>
        <v>0.19230908626469034</v>
      </c>
      <c r="CA205" s="549">
        <f t="shared" si="331"/>
        <v>5.0655323151768648E-2</v>
      </c>
      <c r="CB205" s="147">
        <f t="shared" si="338"/>
        <v>654.02510608282455</v>
      </c>
      <c r="CC205" s="153">
        <f t="shared" si="345"/>
        <v>0.4145666857459902</v>
      </c>
      <c r="CD205" s="5">
        <f t="shared" si="339"/>
        <v>2.9450000000000003</v>
      </c>
      <c r="CE205" s="153">
        <f t="shared" si="340"/>
        <v>0.87660114397939504</v>
      </c>
      <c r="CF205" s="5">
        <f t="shared" si="341"/>
        <v>87.660114397939509</v>
      </c>
      <c r="CG205">
        <f t="shared" si="342"/>
        <v>95</v>
      </c>
      <c r="CI205" s="59">
        <f t="shared" si="332"/>
        <v>-50</v>
      </c>
      <c r="CJ205">
        <f t="shared" si="333"/>
        <v>-50</v>
      </c>
    </row>
    <row r="206" spans="5:88" x14ac:dyDescent="0.25">
      <c r="E206" s="150">
        <v>96</v>
      </c>
      <c r="F206" s="191">
        <f t="shared" si="334"/>
        <v>9.6000000000000002E-2</v>
      </c>
      <c r="G206" s="191">
        <f t="shared" si="299"/>
        <v>9.6000000000000002E-2</v>
      </c>
      <c r="H206" s="191">
        <f t="shared" si="300"/>
        <v>1.44</v>
      </c>
      <c r="I206" s="191">
        <f t="shared" si="301"/>
        <v>1.536</v>
      </c>
      <c r="J206" s="472">
        <f t="shared" si="302"/>
        <v>13</v>
      </c>
      <c r="K206" s="386">
        <f t="shared" si="303"/>
        <v>12.283024108119193</v>
      </c>
      <c r="L206" s="386">
        <f t="shared" si="304"/>
        <v>28.32</v>
      </c>
      <c r="M206" s="386"/>
      <c r="N206" s="191">
        <f t="shared" si="305"/>
        <v>0.54096045197740117</v>
      </c>
      <c r="O206" s="152">
        <f t="shared" ref="O206:O210" si="346">N206*J206*Isw_max*0.5*Efficiency*Pout/(Pout+Pout2)</f>
        <v>1.1484503143794424</v>
      </c>
      <c r="P206" s="152">
        <f t="shared" si="307"/>
        <v>2.5316949152542376</v>
      </c>
      <c r="Q206" s="191">
        <f t="shared" si="308"/>
        <v>7.6563354291962829E-2</v>
      </c>
      <c r="R206" s="191">
        <f t="shared" si="309"/>
        <v>7.1778144648715153E-2</v>
      </c>
      <c r="S206" s="191">
        <f t="shared" si="310"/>
        <v>11.963024108119193</v>
      </c>
      <c r="T206" s="191">
        <f t="shared" si="311"/>
        <v>0.75</v>
      </c>
      <c r="U206" s="191">
        <f t="shared" si="312"/>
        <v>2.7115384615384612</v>
      </c>
      <c r="V206" s="191">
        <f t="shared" si="313"/>
        <v>2.8698144438794531</v>
      </c>
      <c r="W206" s="175">
        <f t="shared" si="314"/>
        <v>350</v>
      </c>
      <c r="X206" s="386">
        <f t="shared" si="315"/>
        <v>179.1680291402615</v>
      </c>
      <c r="Z206" s="191">
        <f t="shared" si="316"/>
        <v>0.38393149101484597</v>
      </c>
      <c r="AA206" s="153">
        <f t="shared" si="317"/>
        <v>1.4690828511661058</v>
      </c>
      <c r="AB206" s="153">
        <f t="shared" ref="AB206:AB210" si="347">0.5*AA206*Z206*Nps*W206/1000*(Pout/(Pout+Pout2))</f>
        <v>4.7760365156949293E-2</v>
      </c>
      <c r="AC206" s="153"/>
      <c r="AD206" s="153">
        <f t="shared" si="319"/>
        <v>0.57396288877589063</v>
      </c>
      <c r="AE206" s="317">
        <f t="shared" ref="AE206:AE210" si="348">MAX(10, F206/(0.5*AD206/1000000*Isw_min*Nps)/1000*Pout_total/Pout)</f>
        <v>2230.1093416159674</v>
      </c>
      <c r="AF206" s="463">
        <f t="shared" si="321"/>
        <v>1.5066525830367127E-2</v>
      </c>
      <c r="AH206" s="153">
        <f t="shared" si="322"/>
        <v>0.60151783698132089</v>
      </c>
      <c r="AI206" s="153">
        <f t="shared" ref="AI206:AI210" si="349">MAX(IF(F206&gt;AB206,T206,AH206),Isw_min)</f>
        <v>0.75</v>
      </c>
      <c r="AJ206" s="153">
        <f t="shared" ref="AJ206:AJ210" si="350">IF(F206&gt;AF206, (AI206-Isw_min)/1.08*0.8+1.2, AE206*0.2/350+1)</f>
        <v>1.6444444444444444</v>
      </c>
      <c r="AL206" s="317">
        <f t="shared" si="325"/>
        <v>96</v>
      </c>
      <c r="AM206" s="147">
        <f t="shared" si="326"/>
        <v>179.1680291402615</v>
      </c>
      <c r="AO206" t="str">
        <f t="shared" si="327"/>
        <v/>
      </c>
      <c r="AP206" t="str">
        <f t="shared" si="328"/>
        <v/>
      </c>
      <c r="AR206" s="5">
        <f t="shared" si="343"/>
        <v>5.5813529054179138</v>
      </c>
      <c r="AS206" s="5">
        <f t="shared" si="335"/>
        <v>2.7115384615384612</v>
      </c>
      <c r="AT206" s="5">
        <f t="shared" si="336"/>
        <v>2.8698144438794526</v>
      </c>
      <c r="AU206" s="153">
        <f t="shared" si="337"/>
        <v>0.48582100209186285</v>
      </c>
      <c r="AW206" s="5">
        <f t="shared" si="275"/>
        <v>1.7353846153846153</v>
      </c>
      <c r="AX206" s="5"/>
      <c r="AY206" s="5">
        <f t="shared" si="276"/>
        <v>1.6269230769230767</v>
      </c>
      <c r="AZ206" s="5"/>
      <c r="BA206" s="5">
        <f t="shared" si="277"/>
        <v>0.47094390873919223</v>
      </c>
      <c r="BB206" s="5"/>
      <c r="BC206" s="5"/>
      <c r="BD206" s="153">
        <f t="shared" si="278"/>
        <v>0.30181358135813618</v>
      </c>
      <c r="BE206" s="153">
        <f t="shared" si="279"/>
        <v>0.31049728196519805</v>
      </c>
      <c r="BF206" s="153">
        <f t="shared" si="280"/>
        <v>0.31090316076515262</v>
      </c>
      <c r="BG206" s="153"/>
      <c r="BH206" s="463">
        <f t="shared" si="281"/>
        <v>3.1882003262278504E-2</v>
      </c>
      <c r="BI206" s="463">
        <f t="shared" si="282"/>
        <v>1.9027644694695773E-2</v>
      </c>
      <c r="BJ206" s="463">
        <f t="shared" si="283"/>
        <v>2.2396003642532686E-3</v>
      </c>
      <c r="BK206" s="463">
        <f t="shared" si="284"/>
        <v>7.1848386367171233E-3</v>
      </c>
      <c r="BL206">
        <f t="shared" si="285"/>
        <v>3.7699999999999999E-3</v>
      </c>
      <c r="BM206">
        <f t="shared" si="329"/>
        <v>3.58336058280523E-6</v>
      </c>
      <c r="BN206">
        <f t="shared" ref="BN206:BN210" si="351">(BI206+BJ206+BK206+BL206+BM206+BH206*(1+RdsonTC*(Ta-25)))/(1-BH206*RdsonTC*ThetaJA)</f>
        <v>6.8816535420686178E-2</v>
      </c>
      <c r="BO206" s="147">
        <f t="shared" si="286"/>
        <v>64.104086957944673</v>
      </c>
      <c r="BP206" s="153">
        <f t="shared" si="287"/>
        <v>3.8400000000000004E-2</v>
      </c>
      <c r="BQ206" s="153">
        <f t="shared" si="288"/>
        <v>3.8400000000000004E-2</v>
      </c>
      <c r="BR206" s="463"/>
      <c r="BT206" s="147">
        <f t="shared" si="289"/>
        <v>76.800000000000011</v>
      </c>
      <c r="BU206" s="463">
        <f t="shared" si="290"/>
        <v>9.1091437892224292E-2</v>
      </c>
      <c r="BV206" s="463">
        <f t="shared" si="291"/>
        <v>9.6408562107775694E-2</v>
      </c>
      <c r="BW206" s="463">
        <f t="shared" si="292"/>
        <v>4.8330387686881171E-3</v>
      </c>
      <c r="BX206" s="463">
        <f t="shared" si="293"/>
        <v>0</v>
      </c>
      <c r="BY206" s="463">
        <f t="shared" si="274"/>
        <v>0.21877928215342679</v>
      </c>
      <c r="BZ206" s="463">
        <f t="shared" si="344"/>
        <v>0.19233303876868812</v>
      </c>
      <c r="CA206" s="549">
        <f t="shared" si="331"/>
        <v>5.0391008195698556E-2</v>
      </c>
      <c r="CB206" s="147">
        <f t="shared" si="338"/>
        <v>653.83636788650153</v>
      </c>
      <c r="CC206" s="153">
        <f t="shared" si="345"/>
        <v>0.41478682576981152</v>
      </c>
      <c r="CD206" s="5">
        <f t="shared" si="339"/>
        <v>2.976</v>
      </c>
      <c r="CE206" s="153">
        <f t="shared" si="340"/>
        <v>0.87767239667871411</v>
      </c>
      <c r="CF206" s="5">
        <f t="shared" si="341"/>
        <v>87.767239667871408</v>
      </c>
      <c r="CG206">
        <f t="shared" si="342"/>
        <v>96</v>
      </c>
      <c r="CI206" s="59">
        <f t="shared" si="332"/>
        <v>-50</v>
      </c>
      <c r="CJ206">
        <f t="shared" si="333"/>
        <v>-50</v>
      </c>
    </row>
    <row r="207" spans="5:88" x14ac:dyDescent="0.25">
      <c r="E207" s="150">
        <v>97</v>
      </c>
      <c r="F207" s="191">
        <f t="shared" ref="F207:F210" si="352">IF(PLOT_TYPE=1, E207/100*Iout_max, min_I*EXP(O207*rr/100))</f>
        <v>9.7000000000000003E-2</v>
      </c>
      <c r="G207" s="191">
        <f t="shared" si="299"/>
        <v>9.7000000000000003E-2</v>
      </c>
      <c r="H207" s="191">
        <f t="shared" si="300"/>
        <v>1.4550000000000001</v>
      </c>
      <c r="I207" s="191">
        <f t="shared" si="301"/>
        <v>1.552</v>
      </c>
      <c r="J207" s="472">
        <f t="shared" si="302"/>
        <v>13</v>
      </c>
      <c r="K207" s="386">
        <f t="shared" si="303"/>
        <v>12.159693962674664</v>
      </c>
      <c r="L207" s="386">
        <f t="shared" si="304"/>
        <v>28.32</v>
      </c>
      <c r="M207" s="386"/>
      <c r="N207" s="191">
        <f t="shared" si="305"/>
        <v>0.54096045197740117</v>
      </c>
      <c r="O207" s="152">
        <f t="shared" si="346"/>
        <v>1.1484503143794424</v>
      </c>
      <c r="P207" s="152">
        <f t="shared" si="307"/>
        <v>2.5316949152542376</v>
      </c>
      <c r="Q207" s="191">
        <f t="shared" si="308"/>
        <v>7.6563354291962829E-2</v>
      </c>
      <c r="R207" s="191">
        <f t="shared" si="309"/>
        <v>7.1778144648715153E-2</v>
      </c>
      <c r="S207" s="191">
        <f t="shared" si="310"/>
        <v>11.839693962674664</v>
      </c>
      <c r="T207" s="191">
        <f t="shared" si="311"/>
        <v>0.75</v>
      </c>
      <c r="U207" s="191">
        <f t="shared" si="312"/>
        <v>2.7115384615384612</v>
      </c>
      <c r="V207" s="191">
        <f t="shared" si="313"/>
        <v>2.8989216429462141</v>
      </c>
      <c r="W207" s="175">
        <f t="shared" si="314"/>
        <v>350</v>
      </c>
      <c r="X207" s="386">
        <f t="shared" si="315"/>
        <v>178.2385011882819</v>
      </c>
      <c r="Z207" s="191">
        <f t="shared" si="316"/>
        <v>0.3819396454034612</v>
      </c>
      <c r="AA207" s="153">
        <f t="shared" si="317"/>
        <v>1.4762841391457284</v>
      </c>
      <c r="AB207" s="153">
        <f t="shared" si="347"/>
        <v>4.7745484891215897E-2</v>
      </c>
      <c r="AC207" s="153"/>
      <c r="AD207" s="153">
        <f t="shared" si="319"/>
        <v>0.57978432858924278</v>
      </c>
      <c r="AE207" s="317">
        <f t="shared" si="348"/>
        <v>2230.714542561594</v>
      </c>
      <c r="AF207" s="463">
        <f t="shared" si="321"/>
        <v>1.5219338625467621E-2</v>
      </c>
      <c r="AH207" s="153">
        <f t="shared" si="322"/>
        <v>0.60464262599255547</v>
      </c>
      <c r="AI207" s="153">
        <f t="shared" si="349"/>
        <v>0.75</v>
      </c>
      <c r="AJ207" s="153">
        <f t="shared" si="350"/>
        <v>1.6444444444444444</v>
      </c>
      <c r="AL207" s="317">
        <f t="shared" si="325"/>
        <v>97</v>
      </c>
      <c r="AM207" s="147">
        <f t="shared" si="326"/>
        <v>178.2385011882819</v>
      </c>
      <c r="AO207" t="str">
        <f t="shared" si="327"/>
        <v/>
      </c>
      <c r="AP207" t="str">
        <f t="shared" si="328"/>
        <v/>
      </c>
      <c r="AR207" s="5">
        <f t="shared" si="343"/>
        <v>5.6104601044846758</v>
      </c>
      <c r="AS207" s="5">
        <f t="shared" si="335"/>
        <v>2.7115384615384612</v>
      </c>
      <c r="AT207" s="5">
        <f t="shared" si="336"/>
        <v>2.8989216429462146</v>
      </c>
      <c r="AU207" s="153">
        <f t="shared" si="337"/>
        <v>0.48330055129899507</v>
      </c>
      <c r="AW207" s="5">
        <f t="shared" si="275"/>
        <v>1.7534615384615382</v>
      </c>
      <c r="AX207" s="5"/>
      <c r="AY207" s="5">
        <f t="shared" si="276"/>
        <v>1.6438701923076922</v>
      </c>
      <c r="AZ207" s="5"/>
      <c r="BA207" s="5">
        <f t="shared" si="277"/>
        <v>0.4806758963517655</v>
      </c>
      <c r="BB207" s="5"/>
      <c r="BC207" s="5"/>
      <c r="BD207" s="153">
        <f t="shared" si="278"/>
        <v>0.30102965529754966</v>
      </c>
      <c r="BE207" s="153">
        <f t="shared" si="279"/>
        <v>0.31125736397945414</v>
      </c>
      <c r="BF207" s="153">
        <f t="shared" si="280"/>
        <v>0.31166423635066914</v>
      </c>
      <c r="BG207" s="153"/>
      <c r="BH207" s="463">
        <f t="shared" si="281"/>
        <v>3.1716598678996545E-2</v>
      </c>
      <c r="BI207" s="463">
        <f t="shared" si="282"/>
        <v>1.892892882619554E-2</v>
      </c>
      <c r="BJ207" s="463">
        <f t="shared" si="283"/>
        <v>2.2279812648535236E-3</v>
      </c>
      <c r="BK207" s="463">
        <f t="shared" si="284"/>
        <v>7.1475635247714355E-3</v>
      </c>
      <c r="BL207">
        <f t="shared" si="285"/>
        <v>3.7699999999999999E-3</v>
      </c>
      <c r="BM207">
        <f t="shared" si="329"/>
        <v>3.5647700237656381E-6</v>
      </c>
      <c r="BN207">
        <f t="shared" si="351"/>
        <v>6.847708610423088E-2</v>
      </c>
      <c r="BO207" s="147">
        <f t="shared" si="286"/>
        <v>63.791072294817049</v>
      </c>
      <c r="BP207" s="153">
        <f t="shared" si="287"/>
        <v>3.8800000000000001E-2</v>
      </c>
      <c r="BQ207" s="153">
        <f t="shared" si="288"/>
        <v>3.8800000000000001E-2</v>
      </c>
      <c r="BR207" s="463"/>
      <c r="BT207" s="147">
        <f t="shared" si="289"/>
        <v>77.600000000000009</v>
      </c>
      <c r="BU207" s="463">
        <f t="shared" si="290"/>
        <v>9.0618853368561569E-2</v>
      </c>
      <c r="BV207" s="463">
        <f t="shared" si="291"/>
        <v>9.6881146631438389E-2</v>
      </c>
      <c r="BW207" s="463">
        <f t="shared" si="292"/>
        <v>4.8567298110022885E-3</v>
      </c>
      <c r="BX207" s="463">
        <f t="shared" si="293"/>
        <v>0</v>
      </c>
      <c r="BY207" s="463">
        <f t="shared" si="274"/>
        <v>0.21880665195073351</v>
      </c>
      <c r="BZ207" s="463">
        <f t="shared" si="344"/>
        <v>0.19235672981100224</v>
      </c>
      <c r="CA207" s="549">
        <f t="shared" si="331"/>
        <v>5.0129578459204301E-2</v>
      </c>
      <c r="CB207" s="147">
        <f t="shared" si="338"/>
        <v>653.64969003194233</v>
      </c>
      <c r="CC207" s="153">
        <f t="shared" si="345"/>
        <v>0.41501331651416867</v>
      </c>
      <c r="CD207" s="5">
        <f t="shared" si="339"/>
        <v>3.0070000000000001</v>
      </c>
      <c r="CE207" s="153">
        <f t="shared" si="340"/>
        <v>0.87872247179420049</v>
      </c>
      <c r="CF207" s="5">
        <f t="shared" si="341"/>
        <v>87.872247179420043</v>
      </c>
      <c r="CG207">
        <f t="shared" si="342"/>
        <v>97</v>
      </c>
      <c r="CI207" s="59">
        <f t="shared" si="332"/>
        <v>-50</v>
      </c>
      <c r="CJ207">
        <f t="shared" si="333"/>
        <v>-50</v>
      </c>
    </row>
    <row r="208" spans="5:88" x14ac:dyDescent="0.25">
      <c r="E208" s="150">
        <v>98</v>
      </c>
      <c r="F208" s="191">
        <f t="shared" si="352"/>
        <v>9.8000000000000004E-2</v>
      </c>
      <c r="G208" s="191">
        <f t="shared" si="299"/>
        <v>9.8000000000000004E-2</v>
      </c>
      <c r="H208" s="191">
        <f t="shared" si="300"/>
        <v>1.47</v>
      </c>
      <c r="I208" s="191">
        <f t="shared" si="301"/>
        <v>1.5680000000000001</v>
      </c>
      <c r="J208" s="472">
        <f t="shared" si="302"/>
        <v>13</v>
      </c>
      <c r="K208" s="386">
        <f t="shared" si="303"/>
        <v>12.038880758973903</v>
      </c>
      <c r="L208" s="386">
        <f t="shared" si="304"/>
        <v>28.32</v>
      </c>
      <c r="M208" s="386"/>
      <c r="N208" s="191">
        <f t="shared" si="305"/>
        <v>0.54096045197740117</v>
      </c>
      <c r="O208" s="152">
        <f t="shared" si="346"/>
        <v>1.1484503143794424</v>
      </c>
      <c r="P208" s="152">
        <f t="shared" si="307"/>
        <v>2.5316949152542376</v>
      </c>
      <c r="Q208" s="191">
        <f t="shared" si="308"/>
        <v>7.6563354291962829E-2</v>
      </c>
      <c r="R208" s="191">
        <f t="shared" si="309"/>
        <v>7.1778144648715153E-2</v>
      </c>
      <c r="S208" s="191">
        <f t="shared" si="310"/>
        <v>11.718880758973903</v>
      </c>
      <c r="T208" s="191">
        <f t="shared" si="311"/>
        <v>0.75</v>
      </c>
      <c r="U208" s="191">
        <f t="shared" si="312"/>
        <v>2.7115384615384612</v>
      </c>
      <c r="V208" s="191">
        <f t="shared" si="313"/>
        <v>2.928013052519379</v>
      </c>
      <c r="W208" s="175">
        <f t="shared" si="314"/>
        <v>350</v>
      </c>
      <c r="X208" s="386">
        <f t="shared" si="315"/>
        <v>177.31906473542742</v>
      </c>
      <c r="Z208" s="191">
        <f t="shared" si="316"/>
        <v>0.37996942443305881</v>
      </c>
      <c r="AA208" s="153">
        <f t="shared" si="317"/>
        <v>1.4834072457310294</v>
      </c>
      <c r="AB208" s="153">
        <f t="shared" si="347"/>
        <v>4.7728376389375861E-2</v>
      </c>
      <c r="AC208" s="153"/>
      <c r="AD208" s="153">
        <f t="shared" si="319"/>
        <v>0.58560261050387585</v>
      </c>
      <c r="AE208" s="317">
        <f t="shared" si="348"/>
        <v>2231.3197435072198</v>
      </c>
      <c r="AF208" s="463">
        <f t="shared" si="321"/>
        <v>1.5372068525726741E-2</v>
      </c>
      <c r="AH208" s="153">
        <f t="shared" si="322"/>
        <v>0.60775134893117233</v>
      </c>
      <c r="AI208" s="153">
        <f t="shared" si="349"/>
        <v>0.75</v>
      </c>
      <c r="AJ208" s="153">
        <f t="shared" si="350"/>
        <v>1.6444444444444444</v>
      </c>
      <c r="AL208" s="317">
        <f t="shared" si="325"/>
        <v>98</v>
      </c>
      <c r="AM208" s="147">
        <f t="shared" si="326"/>
        <v>177.31906473542742</v>
      </c>
      <c r="AO208" t="str">
        <f t="shared" si="327"/>
        <v/>
      </c>
      <c r="AP208" t="str">
        <f t="shared" si="328"/>
        <v/>
      </c>
      <c r="AR208" s="5">
        <f t="shared" si="343"/>
        <v>5.6395515140578407</v>
      </c>
      <c r="AS208" s="5">
        <f t="shared" si="335"/>
        <v>2.7115384615384612</v>
      </c>
      <c r="AT208" s="5">
        <f t="shared" si="336"/>
        <v>2.9280130525193795</v>
      </c>
      <c r="AU208" s="153">
        <f t="shared" si="337"/>
        <v>0.48080746399413971</v>
      </c>
      <c r="AW208" s="5">
        <f t="shared" si="275"/>
        <v>1.7715384615384613</v>
      </c>
      <c r="AX208" s="5"/>
      <c r="AY208" s="5">
        <f t="shared" si="276"/>
        <v>1.6608173076923076</v>
      </c>
      <c r="AZ208" s="5"/>
      <c r="BA208" s="5">
        <f t="shared" si="277"/>
        <v>0.49050475067846011</v>
      </c>
      <c r="BB208" s="5"/>
      <c r="BC208" s="5"/>
      <c r="BD208" s="153">
        <f t="shared" si="278"/>
        <v>0.30025222646785016</v>
      </c>
      <c r="BE208" s="153">
        <f t="shared" si="279"/>
        <v>0.31200737251080912</v>
      </c>
      <c r="BF208" s="153">
        <f t="shared" si="280"/>
        <v>0.31241522528533311</v>
      </c>
      <c r="BG208" s="153"/>
      <c r="BH208" s="463">
        <f t="shared" si="281"/>
        <v>3.1552989824615407E-2</v>
      </c>
      <c r="BI208" s="463">
        <f t="shared" si="282"/>
        <v>1.8831284674902395E-2</v>
      </c>
      <c r="BJ208" s="463">
        <f t="shared" si="283"/>
        <v>2.2164883091928423E-3</v>
      </c>
      <c r="BK208" s="463">
        <f t="shared" si="284"/>
        <v>7.1106930932431428E-3</v>
      </c>
      <c r="BL208">
        <f t="shared" si="285"/>
        <v>3.7699999999999999E-3</v>
      </c>
      <c r="BM208">
        <f t="shared" si="329"/>
        <v>3.5463812947085483E-6</v>
      </c>
      <c r="BN208">
        <f t="shared" si="351"/>
        <v>6.814134254932501E-2</v>
      </c>
      <c r="BO208" s="147">
        <f t="shared" si="286"/>
        <v>63.48145590195378</v>
      </c>
      <c r="BP208" s="153">
        <f t="shared" si="287"/>
        <v>3.9200000000000006E-2</v>
      </c>
      <c r="BQ208" s="153">
        <f t="shared" si="288"/>
        <v>3.9200000000000006E-2</v>
      </c>
      <c r="BR208" s="463"/>
      <c r="BT208" s="147">
        <f t="shared" si="289"/>
        <v>78.400000000000006</v>
      </c>
      <c r="BU208" s="463">
        <f t="shared" si="290"/>
        <v>9.0151399498901177E-2</v>
      </c>
      <c r="BV208" s="463">
        <f t="shared" si="291"/>
        <v>9.7348600501098809E-2</v>
      </c>
      <c r="BW208" s="463">
        <f t="shared" si="292"/>
        <v>4.8801636495042723E-3</v>
      </c>
      <c r="BX208" s="463">
        <f t="shared" si="293"/>
        <v>0</v>
      </c>
      <c r="BY208" s="463">
        <f t="shared" si="274"/>
        <v>0.21883372470917128</v>
      </c>
      <c r="BZ208" s="463">
        <f t="shared" si="344"/>
        <v>0.19238016364950428</v>
      </c>
      <c r="CA208" s="549">
        <f t="shared" si="331"/>
        <v>4.9870986956838968E-2</v>
      </c>
      <c r="CB208" s="147">
        <f t="shared" si="338"/>
        <v>653.46503896501883</v>
      </c>
      <c r="CC208" s="153">
        <f t="shared" si="345"/>
        <v>0.41524605421533528</v>
      </c>
      <c r="CD208" s="5">
        <f t="shared" si="339"/>
        <v>3.0380000000000003</v>
      </c>
      <c r="CE208" s="153">
        <f t="shared" si="340"/>
        <v>0.87975196447167459</v>
      </c>
      <c r="CF208" s="5">
        <f t="shared" si="341"/>
        <v>87.975196447167463</v>
      </c>
      <c r="CG208">
        <f t="shared" si="342"/>
        <v>98</v>
      </c>
      <c r="CI208" s="59">
        <f t="shared" si="332"/>
        <v>-50</v>
      </c>
      <c r="CJ208">
        <f t="shared" si="333"/>
        <v>-50</v>
      </c>
    </row>
    <row r="209" spans="5:88" x14ac:dyDescent="0.25">
      <c r="E209" s="150">
        <v>99</v>
      </c>
      <c r="F209" s="191">
        <f t="shared" si="352"/>
        <v>9.9000000000000005E-2</v>
      </c>
      <c r="G209" s="191">
        <f t="shared" si="299"/>
        <v>9.9000000000000005E-2</v>
      </c>
      <c r="H209" s="191">
        <f t="shared" si="300"/>
        <v>1.4850000000000001</v>
      </c>
      <c r="I209" s="191">
        <f t="shared" si="301"/>
        <v>1.5840000000000001</v>
      </c>
      <c r="J209" s="472">
        <f t="shared" si="302"/>
        <v>13</v>
      </c>
      <c r="K209" s="386">
        <f t="shared" si="303"/>
        <v>11.920508226054974</v>
      </c>
      <c r="L209" s="386">
        <f t="shared" si="304"/>
        <v>28.32</v>
      </c>
      <c r="M209" s="386"/>
      <c r="N209" s="191">
        <f t="shared" si="305"/>
        <v>0.54096045197740117</v>
      </c>
      <c r="O209" s="152">
        <f t="shared" si="346"/>
        <v>1.1484503143794424</v>
      </c>
      <c r="P209" s="152">
        <f t="shared" si="307"/>
        <v>2.5316949152542376</v>
      </c>
      <c r="Q209" s="191">
        <f t="shared" si="308"/>
        <v>7.6563354291962829E-2</v>
      </c>
      <c r="R209" s="191">
        <f t="shared" si="309"/>
        <v>7.1778144648715153E-2</v>
      </c>
      <c r="S209" s="191">
        <f t="shared" si="310"/>
        <v>11.600508226054973</v>
      </c>
      <c r="T209" s="191">
        <f t="shared" si="311"/>
        <v>0.75</v>
      </c>
      <c r="U209" s="191">
        <f t="shared" si="312"/>
        <v>2.7115384615384612</v>
      </c>
      <c r="V209" s="191">
        <f t="shared" si="313"/>
        <v>2.9570886854432201</v>
      </c>
      <c r="W209" s="175">
        <f t="shared" si="314"/>
        <v>350</v>
      </c>
      <c r="X209" s="386">
        <f t="shared" si="315"/>
        <v>176.40955633013547</v>
      </c>
      <c r="Z209" s="191">
        <f t="shared" si="316"/>
        <v>0.37802047785029025</v>
      </c>
      <c r="AA209" s="153">
        <f t="shared" si="317"/>
        <v>1.4904534372225771</v>
      </c>
      <c r="AB209" s="153">
        <f t="shared" si="347"/>
        <v>4.7709114240331481E-2</v>
      </c>
      <c r="AC209" s="153"/>
      <c r="AD209" s="153">
        <f t="shared" si="319"/>
        <v>0.59141773708864409</v>
      </c>
      <c r="AE209" s="317">
        <f t="shared" si="348"/>
        <v>2231.9249444528464</v>
      </c>
      <c r="AF209" s="463">
        <f t="shared" si="321"/>
        <v>1.5524715598576908E-2</v>
      </c>
      <c r="AH209" s="153">
        <f t="shared" si="322"/>
        <v>0.61084425108872542</v>
      </c>
      <c r="AI209" s="153">
        <f t="shared" si="349"/>
        <v>0.75</v>
      </c>
      <c r="AJ209" s="153">
        <f t="shared" si="350"/>
        <v>1.6444444444444444</v>
      </c>
      <c r="AL209" s="317">
        <f t="shared" si="325"/>
        <v>99</v>
      </c>
      <c r="AM209" s="147">
        <f t="shared" si="326"/>
        <v>176.40955633013547</v>
      </c>
      <c r="AO209" t="str">
        <f t="shared" si="327"/>
        <v/>
      </c>
      <c r="AP209" t="str">
        <f t="shared" si="328"/>
        <v/>
      </c>
      <c r="AR209" s="5">
        <f t="shared" si="343"/>
        <v>5.6686271469816809</v>
      </c>
      <c r="AS209" s="5">
        <f t="shared" si="335"/>
        <v>2.7115384615384612</v>
      </c>
      <c r="AT209" s="5">
        <f t="shared" si="336"/>
        <v>2.9570886854432197</v>
      </c>
      <c r="AU209" s="153">
        <f t="shared" si="337"/>
        <v>0.47834129697209804</v>
      </c>
      <c r="AW209" s="5">
        <f t="shared" si="275"/>
        <v>1.7896153846153848</v>
      </c>
      <c r="AX209" s="5"/>
      <c r="AY209" s="5">
        <f t="shared" si="276"/>
        <v>1.6777644230769231</v>
      </c>
      <c r="AZ209" s="5"/>
      <c r="BA209" s="5">
        <f t="shared" si="277"/>
        <v>0.50043039292116032</v>
      </c>
      <c r="BB209" s="5"/>
      <c r="BC209" s="5"/>
      <c r="BD209" s="153">
        <f t="shared" si="278"/>
        <v>0.29948120672634598</v>
      </c>
      <c r="BE209" s="153">
        <f t="shared" si="279"/>
        <v>0.31274751288816288</v>
      </c>
      <c r="BF209" s="153">
        <f t="shared" si="280"/>
        <v>0.31315633316644809</v>
      </c>
      <c r="BG209" s="153"/>
      <c r="BH209" s="463">
        <f t="shared" si="281"/>
        <v>3.1391147613793927E-2</v>
      </c>
      <c r="BI209" s="463">
        <f t="shared" si="282"/>
        <v>1.8734694882260389E-2</v>
      </c>
      <c r="BJ209" s="463">
        <f t="shared" si="283"/>
        <v>2.205119454126693E-3</v>
      </c>
      <c r="BK209" s="463">
        <f t="shared" si="284"/>
        <v>7.0742207875415224E-3</v>
      </c>
      <c r="BL209">
        <f t="shared" si="285"/>
        <v>3.7699999999999999E-3</v>
      </c>
      <c r="BM209">
        <f t="shared" si="329"/>
        <v>3.5281911266027094E-6</v>
      </c>
      <c r="BN209">
        <f t="shared" si="351"/>
        <v>6.7809244401821539E-2</v>
      </c>
      <c r="BO209" s="147">
        <f t="shared" si="286"/>
        <v>63.17518273772253</v>
      </c>
      <c r="BP209" s="153">
        <f t="shared" si="287"/>
        <v>3.9600000000000003E-2</v>
      </c>
      <c r="BQ209" s="153">
        <f t="shared" si="288"/>
        <v>3.9600000000000003E-2</v>
      </c>
      <c r="BR209" s="463"/>
      <c r="BT209" s="147">
        <f t="shared" si="289"/>
        <v>79.2</v>
      </c>
      <c r="BU209" s="463">
        <f t="shared" si="290"/>
        <v>8.9688993182268376E-2</v>
      </c>
      <c r="BV209" s="463">
        <f t="shared" si="291"/>
        <v>9.7811006817731611E-2</v>
      </c>
      <c r="BW209" s="463">
        <f t="shared" si="292"/>
        <v>4.9033444501127722E-3</v>
      </c>
      <c r="BX209" s="463">
        <f t="shared" si="293"/>
        <v>0</v>
      </c>
      <c r="BY209" s="463">
        <f t="shared" si="274"/>
        <v>0.21886050523819595</v>
      </c>
      <c r="BZ209" s="463">
        <f t="shared" si="344"/>
        <v>0.19240334445011278</v>
      </c>
      <c r="CA209" s="549">
        <f t="shared" si="331"/>
        <v>4.9615187717850617E-2</v>
      </c>
      <c r="CB209" s="147">
        <f t="shared" si="338"/>
        <v>653.28238185627208</v>
      </c>
      <c r="CC209" s="153">
        <f t="shared" si="345"/>
        <v>0.41548493735786812</v>
      </c>
      <c r="CD209" s="5">
        <f t="shared" si="339"/>
        <v>3.069</v>
      </c>
      <c r="CE209" s="153">
        <f t="shared" si="340"/>
        <v>0.88076144829803393</v>
      </c>
      <c r="CF209" s="5">
        <f t="shared" si="341"/>
        <v>88.076144829803397</v>
      </c>
      <c r="CG209">
        <f t="shared" si="342"/>
        <v>99</v>
      </c>
      <c r="CI209" s="59">
        <f t="shared" si="332"/>
        <v>-50</v>
      </c>
      <c r="CJ209">
        <f t="shared" si="333"/>
        <v>-50</v>
      </c>
    </row>
    <row r="210" spans="5:88" x14ac:dyDescent="0.25">
      <c r="E210" s="150">
        <v>100</v>
      </c>
      <c r="F210" s="191">
        <f t="shared" si="352"/>
        <v>0.1</v>
      </c>
      <c r="G210" s="191">
        <f t="shared" si="299"/>
        <v>0.1</v>
      </c>
      <c r="H210" s="191">
        <f t="shared" si="300"/>
        <v>1.5</v>
      </c>
      <c r="I210" s="191">
        <f t="shared" si="301"/>
        <v>1.6</v>
      </c>
      <c r="J210" s="472">
        <f t="shared" si="302"/>
        <v>13</v>
      </c>
      <c r="K210" s="386">
        <f t="shared" si="303"/>
        <v>11.804503143794424</v>
      </c>
      <c r="L210" s="386">
        <f t="shared" si="304"/>
        <v>28.32</v>
      </c>
      <c r="M210" s="386"/>
      <c r="N210" s="191">
        <f t="shared" si="305"/>
        <v>0.54096045197740117</v>
      </c>
      <c r="O210" s="152">
        <f t="shared" si="346"/>
        <v>1.1484503143794424</v>
      </c>
      <c r="P210" s="152">
        <f t="shared" si="307"/>
        <v>2.5316949152542376</v>
      </c>
      <c r="Q210" s="191">
        <f t="shared" si="308"/>
        <v>7.6563354291962829E-2</v>
      </c>
      <c r="R210" s="191">
        <f t="shared" si="309"/>
        <v>7.1778144648715153E-2</v>
      </c>
      <c r="S210" s="191">
        <f t="shared" si="310"/>
        <v>11.484503143794424</v>
      </c>
      <c r="T210" s="191">
        <f t="shared" si="311"/>
        <v>0.75</v>
      </c>
      <c r="U210" s="191">
        <f t="shared" si="312"/>
        <v>2.7115384615384612</v>
      </c>
      <c r="V210" s="191">
        <f t="shared" si="313"/>
        <v>2.9861485545480808</v>
      </c>
      <c r="W210" s="175">
        <f t="shared" si="314"/>
        <v>350</v>
      </c>
      <c r="X210" s="386">
        <f t="shared" si="315"/>
        <v>175.50981603177814</v>
      </c>
      <c r="Z210" s="191">
        <f t="shared" si="316"/>
        <v>0.37609246292523885</v>
      </c>
      <c r="AA210" s="153">
        <f t="shared" si="317"/>
        <v>1.4974239527208397</v>
      </c>
      <c r="AB210" s="153">
        <f t="shared" si="347"/>
        <v>4.7687770608316804E-2</v>
      </c>
      <c r="AC210" s="153"/>
      <c r="AD210" s="153">
        <f t="shared" si="319"/>
        <v>0.5972297109096163</v>
      </c>
      <c r="AE210" s="317">
        <f t="shared" si="348"/>
        <v>2232.5301453984725</v>
      </c>
      <c r="AF210" s="463">
        <f t="shared" si="321"/>
        <v>1.5677279911377427E-2</v>
      </c>
      <c r="AH210" s="153">
        <f t="shared" si="322"/>
        <v>0.61392157157786231</v>
      </c>
      <c r="AI210" s="153">
        <f t="shared" si="349"/>
        <v>0.75</v>
      </c>
      <c r="AJ210" s="153">
        <f t="shared" si="350"/>
        <v>1.6444444444444444</v>
      </c>
      <c r="AL210" s="317">
        <f t="shared" si="325"/>
        <v>100</v>
      </c>
      <c r="AM210" s="147">
        <f t="shared" si="326"/>
        <v>175.50981603177814</v>
      </c>
      <c r="AO210" t="str">
        <f t="shared" si="327"/>
        <v/>
      </c>
      <c r="AP210" t="str">
        <f t="shared" si="328"/>
        <v/>
      </c>
      <c r="AR210" s="5">
        <f t="shared" si="343"/>
        <v>5.6976870160865429</v>
      </c>
      <c r="AS210" s="5">
        <f t="shared" si="335"/>
        <v>2.7115384615384612</v>
      </c>
      <c r="AT210" s="5">
        <f t="shared" si="336"/>
        <v>2.9861485545480817</v>
      </c>
      <c r="AU210" s="153">
        <f t="shared" si="337"/>
        <v>0.47590161654770602</v>
      </c>
      <c r="AW210" s="5">
        <f t="shared" si="275"/>
        <v>1.8076923076923075</v>
      </c>
      <c r="AX210" s="5"/>
      <c r="AY210" s="5">
        <f t="shared" si="276"/>
        <v>1.6947115384615383</v>
      </c>
      <c r="AZ210" s="5"/>
      <c r="BA210" s="5">
        <f t="shared" si="277"/>
        <v>0.51045274436719346</v>
      </c>
      <c r="BB210" s="5"/>
      <c r="BC210" s="5"/>
      <c r="BD210" s="153">
        <f t="shared" si="278"/>
        <v>0.29871650959177815</v>
      </c>
      <c r="BE210" s="153">
        <f t="shared" si="279"/>
        <v>0.31347798470914207</v>
      </c>
      <c r="BF210" s="153">
        <f t="shared" si="280"/>
        <v>0.31388775985255274</v>
      </c>
      <c r="BG210" s="153"/>
      <c r="BH210" s="463">
        <f t="shared" si="281"/>
        <v>3.1231043585943207E-2</v>
      </c>
      <c r="BI210" s="463">
        <f t="shared" si="282"/>
        <v>1.8639142462574844E-2</v>
      </c>
      <c r="BJ210" s="463">
        <f t="shared" si="283"/>
        <v>2.1938727003972267E-3</v>
      </c>
      <c r="BK210" s="463">
        <f t="shared" si="284"/>
        <v>7.03814019386826E-3</v>
      </c>
      <c r="BL210">
        <f t="shared" si="285"/>
        <v>3.7699999999999999E-3</v>
      </c>
      <c r="BM210">
        <f t="shared" si="329"/>
        <v>3.5101963206355628E-6</v>
      </c>
      <c r="BN210">
        <f t="shared" si="351"/>
        <v>6.7480732611112787E-2</v>
      </c>
      <c r="BO210" s="147">
        <f t="shared" si="286"/>
        <v>62.872198942783534</v>
      </c>
      <c r="BP210" s="153">
        <f t="shared" si="287"/>
        <v>4.0000000000000008E-2</v>
      </c>
      <c r="BQ210" s="153">
        <f t="shared" si="288"/>
        <v>4.0000000000000008E-2</v>
      </c>
      <c r="BR210" s="463"/>
      <c r="BT210" s="147">
        <f t="shared" si="289"/>
        <v>80.000000000000014</v>
      </c>
      <c r="BU210" s="463">
        <f t="shared" si="290"/>
        <v>8.9231553102694885E-2</v>
      </c>
      <c r="BV210" s="463">
        <f t="shared" si="291"/>
        <v>9.8268446897305101E-2</v>
      </c>
      <c r="BW210" s="463">
        <f t="shared" si="292"/>
        <v>4.9262762892626913E-3</v>
      </c>
      <c r="BX210" s="463">
        <f t="shared" si="293"/>
        <v>0</v>
      </c>
      <c r="BY210" s="463">
        <f t="shared" si="274"/>
        <v>0.2188869982439923</v>
      </c>
      <c r="BZ210" s="463">
        <f t="shared" si="344"/>
        <v>0.1924262762892627</v>
      </c>
      <c r="CA210" s="549">
        <f t="shared" si="331"/>
        <v>4.9362135758937616E-2</v>
      </c>
      <c r="CB210" s="147">
        <f t="shared" si="338"/>
        <v>653.1016865814554</v>
      </c>
      <c r="CC210" s="153">
        <f t="shared" si="345"/>
        <v>0.41572986661404271</v>
      </c>
      <c r="CD210" s="5">
        <f t="shared" si="339"/>
        <v>3.1</v>
      </c>
      <c r="CE210" s="153">
        <f t="shared" si="340"/>
        <v>0.88175147625479344</v>
      </c>
      <c r="CF210" s="5">
        <f t="shared" si="341"/>
        <v>88.17514762547934</v>
      </c>
      <c r="CG210">
        <f t="shared" si="342"/>
        <v>100</v>
      </c>
      <c r="CI210" s="59">
        <f t="shared" si="332"/>
        <v>-50</v>
      </c>
      <c r="CJ210">
        <f t="shared" si="333"/>
        <v>-50</v>
      </c>
    </row>
    <row r="211" spans="5:88" x14ac:dyDescent="0.25">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3.1386423679777957</v>
      </c>
    </row>
    <row r="212" spans="5:88" x14ac:dyDescent="0.25">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5">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5">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3">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5">
      <c r="E216" s="150">
        <v>0.1</v>
      </c>
      <c r="F216" s="191">
        <v>1.0000000000000001E-9</v>
      </c>
      <c r="G216" s="191">
        <f t="shared" ref="G216:G247" si="353">IF(PLOT_TYPE=1, E216/100*Iout2, min_I*EXP(Q216*rr/100))</f>
        <v>1E-4</v>
      </c>
      <c r="H216" s="191">
        <f t="shared" ref="H216:H247" si="354">F216*Vout</f>
        <v>1.5000000000000002E-8</v>
      </c>
      <c r="I216" s="191">
        <f t="shared" ref="I216:I247" si="355">Vout2*G216</f>
        <v>1.6000000000000001E-3</v>
      </c>
      <c r="J216" s="472">
        <f t="shared" ref="J216:J279" si="356">VIN_max</f>
        <v>26</v>
      </c>
      <c r="K216" s="386">
        <f t="shared" ref="K216:K279" si="357">(S216+Vfwd1)*Nps</f>
        <v>15.32</v>
      </c>
      <c r="L216" s="386">
        <f t="shared" ref="L216:L279" si="358">(Vout+Vfwd1)*Nps+J216</f>
        <v>41.32</v>
      </c>
      <c r="M216" s="386"/>
      <c r="N216" s="191">
        <f t="shared" ref="N216:N279" si="359">(Vout+Vfwd1)*Nps/((Vout+Vfwd1)*Nps+J216)</f>
        <v>0.37076476282671827</v>
      </c>
      <c r="O216" s="152">
        <f t="shared" ref="O216:O247" si="360">N216*J216*Isw_max*0.5*Efficiency*Pout/(Pout+Pout2)</f>
        <v>1.574255222808606</v>
      </c>
      <c r="P216" s="152">
        <f t="shared" ref="P216:P247" si="361">N216*J216*Isw_max*0.5*Efficiency*(Pout2/Pout_total)</f>
        <v>3.4703581800580832</v>
      </c>
      <c r="Q216" s="191">
        <f t="shared" ref="Q216:Q279" si="362">O216/Vout</f>
        <v>0.1049503481872404</v>
      </c>
      <c r="R216" s="191">
        <f t="shared" ref="R216:R247" si="363">O216/Vout2</f>
        <v>9.8390951425537873E-2</v>
      </c>
      <c r="S216" s="191">
        <f t="shared" ref="S216:S247" si="364">MIN(Vout,O216/F216)</f>
        <v>15</v>
      </c>
      <c r="T216" s="191">
        <f t="shared" ref="T216:T247" si="365">MIN(2*(Vout*F216+Vout2*G216)/(Efficiency*J216*N216), Isw_max)</f>
        <v>3.6884146638102247E-4</v>
      </c>
      <c r="U216" s="191">
        <f t="shared" ref="U216:U279" si="366">L*T216/J216*1000000</f>
        <v>6.6675188153492518E-4</v>
      </c>
      <c r="V216" s="191">
        <f t="shared" ref="V216:V279" si="367">L*T216/K216*1000000</f>
        <v>1.1315632454248078E-3</v>
      </c>
      <c r="W216" s="175">
        <f t="shared" ref="W216:W279" si="368">IF(1/((350000*L)*(1/J216+1/K216))&gt;Isw_min, 350, 0.001/((Isw_min*L)*(1/J216+1/K216)))</f>
        <v>350</v>
      </c>
      <c r="X216" s="386">
        <f t="shared" ref="X216:X279" si="369">MIN(1/(U216+V216)*1000, 350)</f>
        <v>350</v>
      </c>
      <c r="Z216" s="191">
        <f t="shared" ref="Z216:Z279" si="370">1/((W216*1000*L)*(1/J216+1/K216))</f>
        <v>0.58601117528843016</v>
      </c>
      <c r="AA216" s="153">
        <f t="shared" ref="AA216:AA279" si="371">L*Z216/K216*1000000</f>
        <v>1.7978149633522333</v>
      </c>
      <c r="AB216" s="153">
        <f t="shared" ref="AB216:AB247" si="372">0.5*AA216*Z216*Nps*W216/1000*(Pout/(Pout+Pout2))</f>
        <v>8.9211019565034411E-2</v>
      </c>
      <c r="AC216" s="153"/>
      <c r="AD216" s="153">
        <f t="shared" ref="AD216:AD279" si="373">L*Isw_min/K216*1000000</f>
        <v>0.46018276762402083</v>
      </c>
      <c r="AE216" s="317">
        <f t="shared" ref="AE216:AE247" si="374">MAX(10, F216/(0.5*AD216/1000000*Isw_min*Nps)/1000*Pout_total/Pout)</f>
        <v>10</v>
      </c>
      <c r="AF216" s="463">
        <f t="shared" ref="AF216:AF247" si="375">0.5*AD216/1000000*Isw_min*Nps*W216*1000*(Pout/Pout_total)</f>
        <v>1.2079797650130546E-2</v>
      </c>
      <c r="AH216" s="153">
        <f t="shared" ref="AH216:AH247" si="376">SQRT((H216+I216)/(0.5*L*Fsw_DCM))</f>
        <v>1.3947426253189005E-2</v>
      </c>
      <c r="AI216" s="153">
        <f t="shared" ref="AI216:AI247" si="377">MAX(IF(F216&gt;AB216,T216,AH216),Isw_min)</f>
        <v>0.15</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0.27115384615384613</v>
      </c>
      <c r="AT216" s="5">
        <f t="shared" si="336"/>
        <v>99.728846153846149</v>
      </c>
      <c r="AU216" s="153">
        <f t="shared" si="337"/>
        <v>2.7115384615384614E-3</v>
      </c>
      <c r="CI216" s="59">
        <f t="shared" ref="CI216:CI247" si="383">IF(ABS(F216-Ioutmax_Vinmax)&lt;Iout/200, AM216, -50)</f>
        <v>-50</v>
      </c>
    </row>
    <row r="217" spans="5:88" x14ac:dyDescent="0.25">
      <c r="E217" s="150">
        <v>1</v>
      </c>
      <c r="F217" s="191">
        <f t="shared" ref="F217:F248" si="384">IF(PLOT_TYPE=1, E217/100*Iout_max, min_I*EXP(O217*rr/100))</f>
        <v>1E-3</v>
      </c>
      <c r="G217" s="191">
        <f t="shared" si="353"/>
        <v>1E-3</v>
      </c>
      <c r="H217" s="191">
        <f t="shared" si="354"/>
        <v>1.4999999999999999E-2</v>
      </c>
      <c r="I217" s="191">
        <f t="shared" si="355"/>
        <v>1.6E-2</v>
      </c>
      <c r="J217" s="472">
        <f t="shared" si="356"/>
        <v>26</v>
      </c>
      <c r="K217" s="386">
        <f t="shared" si="357"/>
        <v>15.32</v>
      </c>
      <c r="L217" s="386">
        <f t="shared" si="358"/>
        <v>41.32</v>
      </c>
      <c r="M217" s="386"/>
      <c r="N217" s="191">
        <f t="shared" si="359"/>
        <v>0.37076476282671827</v>
      </c>
      <c r="O217" s="152">
        <f t="shared" si="360"/>
        <v>1.574255222808606</v>
      </c>
      <c r="P217" s="152">
        <f t="shared" si="361"/>
        <v>3.4703581800580832</v>
      </c>
      <c r="Q217" s="191">
        <f t="shared" si="362"/>
        <v>0.1049503481872404</v>
      </c>
      <c r="R217" s="191">
        <f t="shared" si="363"/>
        <v>9.8390951425537873E-2</v>
      </c>
      <c r="S217" s="191">
        <f t="shared" si="364"/>
        <v>15</v>
      </c>
      <c r="T217" s="191">
        <f t="shared" si="365"/>
        <v>7.1462364151659184E-3</v>
      </c>
      <c r="U217" s="191">
        <f t="shared" si="366"/>
        <v>1.2918196596646081E-2</v>
      </c>
      <c r="V217" s="191">
        <f t="shared" si="367"/>
        <v>2.1923832344177423E-2</v>
      </c>
      <c r="W217" s="175">
        <f t="shared" si="368"/>
        <v>350</v>
      </c>
      <c r="X217" s="386">
        <f t="shared" si="369"/>
        <v>350</v>
      </c>
      <c r="Z217" s="191">
        <f t="shared" si="370"/>
        <v>0.58601117528843016</v>
      </c>
      <c r="AA217" s="153">
        <f t="shared" si="371"/>
        <v>1.7978149633522333</v>
      </c>
      <c r="AB217" s="153">
        <f t="shared" si="372"/>
        <v>8.9211019565034411E-2</v>
      </c>
      <c r="AC217" s="153"/>
      <c r="AD217" s="153">
        <f t="shared" si="373"/>
        <v>0.46018276762402083</v>
      </c>
      <c r="AE217" s="317">
        <f t="shared" si="374"/>
        <v>28.973995271867622</v>
      </c>
      <c r="AF217" s="463">
        <f t="shared" si="375"/>
        <v>1.2079797650130546E-2</v>
      </c>
      <c r="AH217" s="153">
        <f t="shared" si="376"/>
        <v>6.1392157157786224E-2</v>
      </c>
      <c r="AI217" s="153">
        <f t="shared" si="377"/>
        <v>0.15</v>
      </c>
      <c r="AJ217" s="153">
        <f t="shared" si="378"/>
        <v>1.0165565687267815</v>
      </c>
      <c r="AL217" s="317">
        <f t="shared" si="379"/>
        <v>1</v>
      </c>
      <c r="AM217" s="147">
        <f t="shared" si="380"/>
        <v>28.973995271867622</v>
      </c>
      <c r="AO217">
        <f t="shared" si="381"/>
        <v>1</v>
      </c>
      <c r="AP217">
        <f t="shared" si="382"/>
        <v>28.973995271867622</v>
      </c>
      <c r="AR217" s="5">
        <f t="shared" si="343"/>
        <v>34.513707571801554</v>
      </c>
      <c r="AS217" s="5">
        <f t="shared" si="335"/>
        <v>0.27115384615384613</v>
      </c>
      <c r="AT217" s="5">
        <f t="shared" si="336"/>
        <v>34.24255372564771</v>
      </c>
      <c r="AU217" s="153">
        <f t="shared" si="337"/>
        <v>7.8564102564102588E-3</v>
      </c>
      <c r="CI217" s="59">
        <f t="shared" si="383"/>
        <v>-50</v>
      </c>
    </row>
    <row r="218" spans="5:88" x14ac:dyDescent="0.25">
      <c r="E218" s="150">
        <v>2</v>
      </c>
      <c r="F218" s="191">
        <f t="shared" si="384"/>
        <v>2E-3</v>
      </c>
      <c r="G218" s="191">
        <f t="shared" si="353"/>
        <v>2E-3</v>
      </c>
      <c r="H218" s="191">
        <f t="shared" si="354"/>
        <v>0.03</v>
      </c>
      <c r="I218" s="191">
        <f t="shared" si="355"/>
        <v>3.2000000000000001E-2</v>
      </c>
      <c r="J218" s="472">
        <f t="shared" si="356"/>
        <v>26</v>
      </c>
      <c r="K218" s="386">
        <f t="shared" si="357"/>
        <v>15.32</v>
      </c>
      <c r="L218" s="386">
        <f t="shared" si="358"/>
        <v>41.32</v>
      </c>
      <c r="M218" s="386"/>
      <c r="N218" s="191">
        <f t="shared" si="359"/>
        <v>0.37076476282671827</v>
      </c>
      <c r="O218" s="152">
        <f t="shared" si="360"/>
        <v>1.574255222808606</v>
      </c>
      <c r="P218" s="152">
        <f t="shared" si="361"/>
        <v>3.4703581800580832</v>
      </c>
      <c r="Q218" s="191">
        <f t="shared" si="362"/>
        <v>0.1049503481872404</v>
      </c>
      <c r="R218" s="191">
        <f t="shared" si="363"/>
        <v>9.8390951425537873E-2</v>
      </c>
      <c r="S218" s="191">
        <f t="shared" si="364"/>
        <v>15</v>
      </c>
      <c r="T218" s="191">
        <f t="shared" si="365"/>
        <v>1.4292472830331837E-2</v>
      </c>
      <c r="U218" s="191">
        <f t="shared" si="366"/>
        <v>2.5836393193292163E-2</v>
      </c>
      <c r="V218" s="191">
        <f t="shared" si="367"/>
        <v>4.3847664688354847E-2</v>
      </c>
      <c r="W218" s="175">
        <f t="shared" si="368"/>
        <v>350</v>
      </c>
      <c r="X218" s="386">
        <f t="shared" si="369"/>
        <v>350</v>
      </c>
      <c r="Z218" s="191">
        <f t="shared" si="370"/>
        <v>0.58601117528843016</v>
      </c>
      <c r="AA218" s="153">
        <f t="shared" si="371"/>
        <v>1.7978149633522333</v>
      </c>
      <c r="AB218" s="153">
        <f t="shared" si="372"/>
        <v>8.9211019565034411E-2</v>
      </c>
      <c r="AC218" s="153"/>
      <c r="AD218" s="153">
        <f t="shared" si="373"/>
        <v>0.46018276762402083</v>
      </c>
      <c r="AE218" s="317">
        <f t="shared" si="374"/>
        <v>57.947990543735244</v>
      </c>
      <c r="AF218" s="463">
        <f t="shared" si="375"/>
        <v>1.2079797650130546E-2</v>
      </c>
      <c r="AH218" s="153">
        <f t="shared" si="376"/>
        <v>8.6821621275881763E-2</v>
      </c>
      <c r="AI218" s="153">
        <f t="shared" si="377"/>
        <v>0.15</v>
      </c>
      <c r="AJ218" s="153">
        <f t="shared" si="378"/>
        <v>1.0331131374535629</v>
      </c>
      <c r="AL218" s="317">
        <f t="shared" si="379"/>
        <v>2</v>
      </c>
      <c r="AM218" s="147">
        <f t="shared" si="380"/>
        <v>57.947990543735244</v>
      </c>
      <c r="AO218">
        <f t="shared" si="381"/>
        <v>2</v>
      </c>
      <c r="AP218">
        <f t="shared" si="382"/>
        <v>57.947990543735244</v>
      </c>
      <c r="AR218" s="5">
        <f t="shared" si="343"/>
        <v>17.256853785900777</v>
      </c>
      <c r="AS218" s="5">
        <f t="shared" si="335"/>
        <v>0.27115384615384613</v>
      </c>
      <c r="AT218" s="5">
        <f t="shared" si="336"/>
        <v>16.985699939746929</v>
      </c>
      <c r="AU218" s="153">
        <f t="shared" si="337"/>
        <v>1.5712820512820518E-2</v>
      </c>
      <c r="CI218" s="59">
        <f t="shared" si="383"/>
        <v>-50</v>
      </c>
    </row>
    <row r="219" spans="5:88" x14ac:dyDescent="0.25">
      <c r="E219" s="150">
        <v>3</v>
      </c>
      <c r="F219" s="191">
        <f t="shared" si="384"/>
        <v>3.0000000000000001E-3</v>
      </c>
      <c r="G219" s="191">
        <f t="shared" si="353"/>
        <v>3.0000000000000001E-3</v>
      </c>
      <c r="H219" s="191">
        <f t="shared" si="354"/>
        <v>4.4999999999999998E-2</v>
      </c>
      <c r="I219" s="191">
        <f t="shared" si="355"/>
        <v>4.8000000000000001E-2</v>
      </c>
      <c r="J219" s="472">
        <f t="shared" si="356"/>
        <v>26</v>
      </c>
      <c r="K219" s="386">
        <f t="shared" si="357"/>
        <v>15.32</v>
      </c>
      <c r="L219" s="386">
        <f t="shared" si="358"/>
        <v>41.32</v>
      </c>
      <c r="M219" s="386"/>
      <c r="N219" s="191">
        <f t="shared" si="359"/>
        <v>0.37076476282671827</v>
      </c>
      <c r="O219" s="152">
        <f t="shared" si="360"/>
        <v>1.574255222808606</v>
      </c>
      <c r="P219" s="152">
        <f t="shared" si="361"/>
        <v>3.4703581800580832</v>
      </c>
      <c r="Q219" s="191">
        <f t="shared" si="362"/>
        <v>0.1049503481872404</v>
      </c>
      <c r="R219" s="191">
        <f t="shared" si="363"/>
        <v>9.8390951425537873E-2</v>
      </c>
      <c r="S219" s="191">
        <f t="shared" si="364"/>
        <v>15</v>
      </c>
      <c r="T219" s="191">
        <f t="shared" si="365"/>
        <v>2.1438709245497754E-2</v>
      </c>
      <c r="U219" s="191">
        <f t="shared" si="366"/>
        <v>3.8754589789938246E-2</v>
      </c>
      <c r="V219" s="191">
        <f t="shared" si="367"/>
        <v>6.5771497032532281E-2</v>
      </c>
      <c r="W219" s="175">
        <f t="shared" si="368"/>
        <v>350</v>
      </c>
      <c r="X219" s="386">
        <f t="shared" si="369"/>
        <v>350</v>
      </c>
      <c r="Z219" s="191">
        <f t="shared" si="370"/>
        <v>0.58601117528843016</v>
      </c>
      <c r="AA219" s="153">
        <f t="shared" si="371"/>
        <v>1.7978149633522333</v>
      </c>
      <c r="AB219" s="153">
        <f t="shared" si="372"/>
        <v>8.9211019565034411E-2</v>
      </c>
      <c r="AC219" s="153"/>
      <c r="AD219" s="153">
        <f t="shared" si="373"/>
        <v>0.46018276762402083</v>
      </c>
      <c r="AE219" s="317">
        <f t="shared" si="374"/>
        <v>86.921985815602866</v>
      </c>
      <c r="AF219" s="463">
        <f t="shared" si="375"/>
        <v>1.2079797650130546E-2</v>
      </c>
      <c r="AH219" s="153">
        <f t="shared" si="376"/>
        <v>0.10633433538353906</v>
      </c>
      <c r="AI219" s="153">
        <f t="shared" si="377"/>
        <v>0.15</v>
      </c>
      <c r="AJ219" s="153">
        <f t="shared" si="378"/>
        <v>1.0496697061803446</v>
      </c>
      <c r="AL219" s="317">
        <f t="shared" si="379"/>
        <v>3</v>
      </c>
      <c r="AM219" s="147">
        <f t="shared" si="380"/>
        <v>86.921985815602866</v>
      </c>
      <c r="AO219">
        <f t="shared" si="381"/>
        <v>3</v>
      </c>
      <c r="AP219">
        <f t="shared" si="382"/>
        <v>86.921985815602866</v>
      </c>
      <c r="AR219" s="5">
        <f t="shared" si="343"/>
        <v>11.504569190600519</v>
      </c>
      <c r="AS219" s="5">
        <f t="shared" si="335"/>
        <v>0.27115384615384613</v>
      </c>
      <c r="AT219" s="5">
        <f t="shared" si="336"/>
        <v>11.233415344446673</v>
      </c>
      <c r="AU219" s="153">
        <f t="shared" si="337"/>
        <v>2.3569230769230776E-2</v>
      </c>
      <c r="CI219" s="59">
        <f t="shared" si="383"/>
        <v>-50</v>
      </c>
    </row>
    <row r="220" spans="5:88" x14ac:dyDescent="0.25">
      <c r="E220" s="150">
        <v>4</v>
      </c>
      <c r="F220" s="191">
        <f t="shared" si="384"/>
        <v>4.0000000000000001E-3</v>
      </c>
      <c r="G220" s="191">
        <f t="shared" si="353"/>
        <v>4.0000000000000001E-3</v>
      </c>
      <c r="H220" s="191">
        <f t="shared" si="354"/>
        <v>0.06</v>
      </c>
      <c r="I220" s="191">
        <f t="shared" si="355"/>
        <v>6.4000000000000001E-2</v>
      </c>
      <c r="J220" s="472">
        <f t="shared" si="356"/>
        <v>26</v>
      </c>
      <c r="K220" s="386">
        <f t="shared" si="357"/>
        <v>15.32</v>
      </c>
      <c r="L220" s="386">
        <f t="shared" si="358"/>
        <v>41.32</v>
      </c>
      <c r="M220" s="386"/>
      <c r="N220" s="191">
        <f t="shared" si="359"/>
        <v>0.37076476282671827</v>
      </c>
      <c r="O220" s="152">
        <f t="shared" si="360"/>
        <v>1.574255222808606</v>
      </c>
      <c r="P220" s="152">
        <f t="shared" si="361"/>
        <v>3.4703581800580832</v>
      </c>
      <c r="Q220" s="191">
        <f t="shared" si="362"/>
        <v>0.1049503481872404</v>
      </c>
      <c r="R220" s="191">
        <f t="shared" si="363"/>
        <v>9.8390951425537873E-2</v>
      </c>
      <c r="S220" s="191">
        <f t="shared" si="364"/>
        <v>15</v>
      </c>
      <c r="T220" s="191">
        <f t="shared" si="365"/>
        <v>2.8584945660663674E-2</v>
      </c>
      <c r="U220" s="191">
        <f t="shared" si="366"/>
        <v>5.1672786386584325E-2</v>
      </c>
      <c r="V220" s="191">
        <f t="shared" si="367"/>
        <v>8.7695329376709694E-2</v>
      </c>
      <c r="W220" s="175">
        <f t="shared" si="368"/>
        <v>350</v>
      </c>
      <c r="X220" s="386">
        <f t="shared" si="369"/>
        <v>350</v>
      </c>
      <c r="Z220" s="191">
        <f t="shared" si="370"/>
        <v>0.58601117528843016</v>
      </c>
      <c r="AA220" s="153">
        <f t="shared" si="371"/>
        <v>1.7978149633522333</v>
      </c>
      <c r="AB220" s="153">
        <f t="shared" si="372"/>
        <v>8.9211019565034411E-2</v>
      </c>
      <c r="AC220" s="153"/>
      <c r="AD220" s="153">
        <f t="shared" si="373"/>
        <v>0.46018276762402083</v>
      </c>
      <c r="AE220" s="317">
        <f t="shared" si="374"/>
        <v>115.89598108747049</v>
      </c>
      <c r="AF220" s="463">
        <f t="shared" si="375"/>
        <v>1.2079797650130546E-2</v>
      </c>
      <c r="AH220" s="153">
        <f t="shared" si="376"/>
        <v>0.12278431431557245</v>
      </c>
      <c r="AI220" s="153">
        <f t="shared" si="377"/>
        <v>0.15</v>
      </c>
      <c r="AJ220" s="153">
        <f t="shared" si="378"/>
        <v>1.0662262749071261</v>
      </c>
      <c r="AL220" s="317">
        <f t="shared" si="379"/>
        <v>4</v>
      </c>
      <c r="AM220" s="147">
        <f t="shared" si="380"/>
        <v>115.89598108747049</v>
      </c>
      <c r="AO220">
        <f t="shared" si="381"/>
        <v>4</v>
      </c>
      <c r="AP220">
        <f t="shared" si="382"/>
        <v>115.89598108747049</v>
      </c>
      <c r="AR220" s="5">
        <f t="shared" si="343"/>
        <v>8.6284268929503884</v>
      </c>
      <c r="AS220" s="5">
        <f t="shared" si="335"/>
        <v>0.27115384615384613</v>
      </c>
      <c r="AT220" s="5">
        <f t="shared" si="336"/>
        <v>8.3572730467965428</v>
      </c>
      <c r="AU220" s="153">
        <f t="shared" si="337"/>
        <v>3.1425641025641035E-2</v>
      </c>
      <c r="CI220" s="59">
        <f t="shared" si="383"/>
        <v>-50</v>
      </c>
    </row>
    <row r="221" spans="5:88" x14ac:dyDescent="0.25">
      <c r="E221" s="150">
        <v>5</v>
      </c>
      <c r="F221" s="191">
        <f t="shared" si="384"/>
        <v>5.000000000000001E-3</v>
      </c>
      <c r="G221" s="191">
        <f t="shared" si="353"/>
        <v>5.000000000000001E-3</v>
      </c>
      <c r="H221" s="191">
        <f t="shared" si="354"/>
        <v>7.5000000000000011E-2</v>
      </c>
      <c r="I221" s="191">
        <f t="shared" si="355"/>
        <v>8.0000000000000016E-2</v>
      </c>
      <c r="J221" s="472">
        <f t="shared" si="356"/>
        <v>26</v>
      </c>
      <c r="K221" s="386">
        <f t="shared" si="357"/>
        <v>15.32</v>
      </c>
      <c r="L221" s="386">
        <f t="shared" si="358"/>
        <v>41.32</v>
      </c>
      <c r="M221" s="386"/>
      <c r="N221" s="191">
        <f t="shared" si="359"/>
        <v>0.37076476282671827</v>
      </c>
      <c r="O221" s="152">
        <f t="shared" si="360"/>
        <v>1.574255222808606</v>
      </c>
      <c r="P221" s="152">
        <f t="shared" si="361"/>
        <v>3.4703581800580832</v>
      </c>
      <c r="Q221" s="191">
        <f t="shared" si="362"/>
        <v>0.1049503481872404</v>
      </c>
      <c r="R221" s="191">
        <f t="shared" si="363"/>
        <v>9.8390951425537873E-2</v>
      </c>
      <c r="S221" s="191">
        <f t="shared" si="364"/>
        <v>15</v>
      </c>
      <c r="T221" s="191">
        <f t="shared" si="365"/>
        <v>3.57311820758296E-2</v>
      </c>
      <c r="U221" s="191">
        <f t="shared" si="366"/>
        <v>6.4590982983230419E-2</v>
      </c>
      <c r="V221" s="191">
        <f t="shared" si="367"/>
        <v>0.10961916172088713</v>
      </c>
      <c r="W221" s="175">
        <f t="shared" si="368"/>
        <v>350</v>
      </c>
      <c r="X221" s="386">
        <f t="shared" si="369"/>
        <v>350</v>
      </c>
      <c r="Z221" s="191">
        <f t="shared" si="370"/>
        <v>0.58601117528843016</v>
      </c>
      <c r="AA221" s="153">
        <f t="shared" si="371"/>
        <v>1.7978149633522333</v>
      </c>
      <c r="AB221" s="153">
        <f t="shared" si="372"/>
        <v>8.9211019565034411E-2</v>
      </c>
      <c r="AC221" s="153"/>
      <c r="AD221" s="153">
        <f t="shared" si="373"/>
        <v>0.46018276762402083</v>
      </c>
      <c r="AE221" s="317">
        <f t="shared" si="374"/>
        <v>144.86997635933812</v>
      </c>
      <c r="AF221" s="463">
        <f t="shared" si="375"/>
        <v>1.2079797650130546E-2</v>
      </c>
      <c r="AH221" s="153">
        <f t="shared" si="376"/>
        <v>0.13727703669016031</v>
      </c>
      <c r="AI221" s="153">
        <f t="shared" si="377"/>
        <v>0.15</v>
      </c>
      <c r="AJ221" s="153">
        <f t="shared" si="378"/>
        <v>1.0827828436339075</v>
      </c>
      <c r="AL221" s="317">
        <f t="shared" si="379"/>
        <v>5.0000000000000009</v>
      </c>
      <c r="AM221" s="147">
        <f t="shared" si="380"/>
        <v>144.86997635933812</v>
      </c>
      <c r="AO221">
        <f t="shared" si="381"/>
        <v>5.0000000000000009</v>
      </c>
      <c r="AP221">
        <f t="shared" si="382"/>
        <v>144.86997635933812</v>
      </c>
      <c r="AR221" s="5">
        <f t="shared" si="343"/>
        <v>6.9027415143603097</v>
      </c>
      <c r="AS221" s="5">
        <f t="shared" si="335"/>
        <v>0.27115384615384613</v>
      </c>
      <c r="AT221" s="5">
        <f t="shared" si="336"/>
        <v>6.6315876682064632</v>
      </c>
      <c r="AU221" s="153">
        <f t="shared" si="337"/>
        <v>3.9282051282051297E-2</v>
      </c>
      <c r="CI221" s="59">
        <f t="shared" si="383"/>
        <v>-50</v>
      </c>
    </row>
    <row r="222" spans="5:88" x14ac:dyDescent="0.25">
      <c r="E222" s="150">
        <v>6</v>
      </c>
      <c r="F222" s="191">
        <f t="shared" si="384"/>
        <v>6.0000000000000001E-3</v>
      </c>
      <c r="G222" s="191">
        <f t="shared" si="353"/>
        <v>6.0000000000000001E-3</v>
      </c>
      <c r="H222" s="191">
        <f t="shared" si="354"/>
        <v>0.09</v>
      </c>
      <c r="I222" s="191">
        <f t="shared" si="355"/>
        <v>9.6000000000000002E-2</v>
      </c>
      <c r="J222" s="472">
        <f t="shared" si="356"/>
        <v>26</v>
      </c>
      <c r="K222" s="386">
        <f t="shared" si="357"/>
        <v>15.32</v>
      </c>
      <c r="L222" s="386">
        <f t="shared" si="358"/>
        <v>41.32</v>
      </c>
      <c r="M222" s="386"/>
      <c r="N222" s="191">
        <f t="shared" si="359"/>
        <v>0.37076476282671827</v>
      </c>
      <c r="O222" s="152">
        <f t="shared" si="360"/>
        <v>1.574255222808606</v>
      </c>
      <c r="P222" s="152">
        <f t="shared" si="361"/>
        <v>3.4703581800580832</v>
      </c>
      <c r="Q222" s="191">
        <f t="shared" si="362"/>
        <v>0.1049503481872404</v>
      </c>
      <c r="R222" s="191">
        <f t="shared" si="363"/>
        <v>9.8390951425537873E-2</v>
      </c>
      <c r="S222" s="191">
        <f t="shared" si="364"/>
        <v>15</v>
      </c>
      <c r="T222" s="191">
        <f t="shared" si="365"/>
        <v>4.2877418490995509E-2</v>
      </c>
      <c r="U222" s="191">
        <f t="shared" si="366"/>
        <v>7.7509179579876492E-2</v>
      </c>
      <c r="V222" s="191">
        <f t="shared" si="367"/>
        <v>0.13154299406506456</v>
      </c>
      <c r="W222" s="175">
        <f t="shared" si="368"/>
        <v>350</v>
      </c>
      <c r="X222" s="386">
        <f t="shared" si="369"/>
        <v>350</v>
      </c>
      <c r="Z222" s="191">
        <f t="shared" si="370"/>
        <v>0.58601117528843016</v>
      </c>
      <c r="AA222" s="153">
        <f t="shared" si="371"/>
        <v>1.7978149633522333</v>
      </c>
      <c r="AB222" s="153">
        <f t="shared" si="372"/>
        <v>8.9211019565034411E-2</v>
      </c>
      <c r="AC222" s="153"/>
      <c r="AD222" s="153">
        <f t="shared" si="373"/>
        <v>0.46018276762402083</v>
      </c>
      <c r="AE222" s="317">
        <f t="shared" si="374"/>
        <v>173.84397163120573</v>
      </c>
      <c r="AF222" s="463">
        <f t="shared" si="375"/>
        <v>1.2079797650130546E-2</v>
      </c>
      <c r="AH222" s="153">
        <f t="shared" si="376"/>
        <v>0.15037945924533022</v>
      </c>
      <c r="AI222" s="153">
        <f t="shared" si="377"/>
        <v>0.15037945924533022</v>
      </c>
      <c r="AJ222" s="153">
        <f t="shared" si="378"/>
        <v>1.099339412360689</v>
      </c>
      <c r="AL222" s="317">
        <f t="shared" si="379"/>
        <v>6</v>
      </c>
      <c r="AM222" s="147">
        <f t="shared" si="380"/>
        <v>173.84397163120573</v>
      </c>
      <c r="AO222">
        <f t="shared" si="381"/>
        <v>6</v>
      </c>
      <c r="AP222">
        <f t="shared" si="382"/>
        <v>173.84397163120573</v>
      </c>
      <c r="AR222" s="5">
        <f t="shared" si="343"/>
        <v>5.7522845953002593</v>
      </c>
      <c r="AS222" s="5">
        <f t="shared" si="335"/>
        <v>0.27183979171271233</v>
      </c>
      <c r="AT222" s="5">
        <f t="shared" si="336"/>
        <v>5.480444803587547</v>
      </c>
      <c r="AU222" s="153">
        <f t="shared" si="337"/>
        <v>4.725770903873764E-2</v>
      </c>
      <c r="CI222" s="59">
        <f t="shared" si="383"/>
        <v>-50</v>
      </c>
    </row>
    <row r="223" spans="5:88" x14ac:dyDescent="0.25">
      <c r="E223" s="150">
        <v>7</v>
      </c>
      <c r="F223" s="191">
        <f t="shared" si="384"/>
        <v>7.000000000000001E-3</v>
      </c>
      <c r="G223" s="191">
        <f t="shared" si="353"/>
        <v>7.000000000000001E-3</v>
      </c>
      <c r="H223" s="191">
        <f t="shared" si="354"/>
        <v>0.10500000000000001</v>
      </c>
      <c r="I223" s="191">
        <f t="shared" si="355"/>
        <v>0.11200000000000002</v>
      </c>
      <c r="J223" s="472">
        <f t="shared" si="356"/>
        <v>26</v>
      </c>
      <c r="K223" s="386">
        <f t="shared" si="357"/>
        <v>15.32</v>
      </c>
      <c r="L223" s="386">
        <f t="shared" si="358"/>
        <v>41.32</v>
      </c>
      <c r="M223" s="386"/>
      <c r="N223" s="191">
        <f t="shared" si="359"/>
        <v>0.37076476282671827</v>
      </c>
      <c r="O223" s="152">
        <f t="shared" si="360"/>
        <v>1.574255222808606</v>
      </c>
      <c r="P223" s="152">
        <f t="shared" si="361"/>
        <v>3.4703581800580832</v>
      </c>
      <c r="Q223" s="191">
        <f t="shared" si="362"/>
        <v>0.1049503481872404</v>
      </c>
      <c r="R223" s="191">
        <f t="shared" si="363"/>
        <v>9.8390951425537873E-2</v>
      </c>
      <c r="S223" s="191">
        <f t="shared" si="364"/>
        <v>15</v>
      </c>
      <c r="T223" s="191">
        <f t="shared" si="365"/>
        <v>5.0023654906161438E-2</v>
      </c>
      <c r="U223" s="191">
        <f t="shared" si="366"/>
        <v>9.0427376176522606E-2</v>
      </c>
      <c r="V223" s="191">
        <f t="shared" si="367"/>
        <v>0.15346682640924203</v>
      </c>
      <c r="W223" s="175">
        <f t="shared" si="368"/>
        <v>350</v>
      </c>
      <c r="X223" s="386">
        <f t="shared" si="369"/>
        <v>350</v>
      </c>
      <c r="Z223" s="191">
        <f t="shared" si="370"/>
        <v>0.58601117528843016</v>
      </c>
      <c r="AA223" s="153">
        <f t="shared" si="371"/>
        <v>1.7978149633522333</v>
      </c>
      <c r="AB223" s="153">
        <f t="shared" si="372"/>
        <v>8.9211019565034411E-2</v>
      </c>
      <c r="AC223" s="153"/>
      <c r="AD223" s="153">
        <f t="shared" si="373"/>
        <v>0.46018276762402083</v>
      </c>
      <c r="AE223" s="317">
        <f t="shared" si="374"/>
        <v>202.81796690307337</v>
      </c>
      <c r="AF223" s="463">
        <f t="shared" si="375"/>
        <v>1.2079797650130546E-2</v>
      </c>
      <c r="AH223" s="153">
        <f t="shared" si="376"/>
        <v>0.16242838028929629</v>
      </c>
      <c r="AI223" s="153">
        <f t="shared" si="377"/>
        <v>0.16242838028929629</v>
      </c>
      <c r="AJ223" s="153">
        <f t="shared" si="378"/>
        <v>1.1158959810874705</v>
      </c>
      <c r="AL223" s="317">
        <f t="shared" si="379"/>
        <v>7.0000000000000009</v>
      </c>
      <c r="AM223" s="147">
        <f t="shared" si="380"/>
        <v>202.81796690307337</v>
      </c>
      <c r="AO223">
        <f t="shared" si="381"/>
        <v>7.0000000000000009</v>
      </c>
      <c r="AP223">
        <f t="shared" si="382"/>
        <v>202.81796690307337</v>
      </c>
      <c r="AR223" s="5">
        <f t="shared" si="343"/>
        <v>4.9305296531145073</v>
      </c>
      <c r="AS223" s="5">
        <f t="shared" si="335"/>
        <v>0.29362053359988177</v>
      </c>
      <c r="AT223" s="5">
        <f t="shared" si="336"/>
        <v>4.6369091195146259</v>
      </c>
      <c r="AU223" s="153">
        <f t="shared" si="337"/>
        <v>5.9551519665723564E-2</v>
      </c>
      <c r="CI223" s="59">
        <f t="shared" si="383"/>
        <v>-50</v>
      </c>
    </row>
    <row r="224" spans="5:88" x14ac:dyDescent="0.25">
      <c r="E224" s="150">
        <v>8</v>
      </c>
      <c r="F224" s="191">
        <f t="shared" si="384"/>
        <v>8.0000000000000002E-3</v>
      </c>
      <c r="G224" s="191">
        <f t="shared" si="353"/>
        <v>8.0000000000000002E-3</v>
      </c>
      <c r="H224" s="191">
        <f t="shared" si="354"/>
        <v>0.12</v>
      </c>
      <c r="I224" s="191">
        <f t="shared" si="355"/>
        <v>0.128</v>
      </c>
      <c r="J224" s="472">
        <f t="shared" si="356"/>
        <v>26</v>
      </c>
      <c r="K224" s="386">
        <f t="shared" si="357"/>
        <v>15.32</v>
      </c>
      <c r="L224" s="386">
        <f t="shared" si="358"/>
        <v>41.32</v>
      </c>
      <c r="M224" s="386"/>
      <c r="N224" s="191">
        <f t="shared" si="359"/>
        <v>0.37076476282671827</v>
      </c>
      <c r="O224" s="152">
        <f t="shared" si="360"/>
        <v>1.574255222808606</v>
      </c>
      <c r="P224" s="152">
        <f t="shared" si="361"/>
        <v>3.4703581800580832</v>
      </c>
      <c r="Q224" s="191">
        <f t="shared" si="362"/>
        <v>0.1049503481872404</v>
      </c>
      <c r="R224" s="191">
        <f t="shared" si="363"/>
        <v>9.8390951425537873E-2</v>
      </c>
      <c r="S224" s="191">
        <f t="shared" si="364"/>
        <v>15</v>
      </c>
      <c r="T224" s="191">
        <f t="shared" si="365"/>
        <v>5.7169891321327347E-2</v>
      </c>
      <c r="U224" s="191">
        <f t="shared" si="366"/>
        <v>0.10334557277316865</v>
      </c>
      <c r="V224" s="191">
        <f t="shared" si="367"/>
        <v>0.17539065875341939</v>
      </c>
      <c r="W224" s="175">
        <f t="shared" si="368"/>
        <v>350</v>
      </c>
      <c r="X224" s="386">
        <f t="shared" si="369"/>
        <v>350</v>
      </c>
      <c r="Z224" s="191">
        <f t="shared" si="370"/>
        <v>0.58601117528843016</v>
      </c>
      <c r="AA224" s="153">
        <f t="shared" si="371"/>
        <v>1.7978149633522333</v>
      </c>
      <c r="AB224" s="153">
        <f t="shared" si="372"/>
        <v>8.9211019565034411E-2</v>
      </c>
      <c r="AC224" s="153"/>
      <c r="AD224" s="153">
        <f t="shared" si="373"/>
        <v>0.46018276762402083</v>
      </c>
      <c r="AE224" s="317">
        <f t="shared" si="374"/>
        <v>231.79196217494098</v>
      </c>
      <c r="AF224" s="463">
        <f t="shared" si="375"/>
        <v>1.2079797650130546E-2</v>
      </c>
      <c r="AH224" s="153">
        <f t="shared" si="376"/>
        <v>0.17364324255176353</v>
      </c>
      <c r="AI224" s="153">
        <f t="shared" si="377"/>
        <v>0.17364324255176353</v>
      </c>
      <c r="AJ224" s="153">
        <f t="shared" si="378"/>
        <v>1.1324525498142519</v>
      </c>
      <c r="AL224" s="317">
        <f t="shared" si="379"/>
        <v>8</v>
      </c>
      <c r="AM224" s="147">
        <f t="shared" si="380"/>
        <v>231.79196217494098</v>
      </c>
      <c r="AO224">
        <f t="shared" si="381"/>
        <v>8</v>
      </c>
      <c r="AP224">
        <f t="shared" si="382"/>
        <v>231.79196217494098</v>
      </c>
      <c r="AR224" s="5">
        <f t="shared" si="343"/>
        <v>4.3142134464751942</v>
      </c>
      <c r="AS224" s="5">
        <f t="shared" si="335"/>
        <v>0.31389355384357254</v>
      </c>
      <c r="AT224" s="5">
        <f t="shared" si="336"/>
        <v>4.0003198926316212</v>
      </c>
      <c r="AU224" s="153">
        <f t="shared" si="337"/>
        <v>7.2758002759467172E-2</v>
      </c>
      <c r="CI224" s="59">
        <f t="shared" si="383"/>
        <v>-50</v>
      </c>
    </row>
    <row r="225" spans="5:87" x14ac:dyDescent="0.25">
      <c r="E225" s="150">
        <v>9</v>
      </c>
      <c r="F225" s="191">
        <f t="shared" si="384"/>
        <v>8.9999999999999993E-3</v>
      </c>
      <c r="G225" s="191">
        <f t="shared" si="353"/>
        <v>8.9999999999999993E-3</v>
      </c>
      <c r="H225" s="191">
        <f t="shared" si="354"/>
        <v>0.13499999999999998</v>
      </c>
      <c r="I225" s="191">
        <f t="shared" si="355"/>
        <v>0.14399999999999999</v>
      </c>
      <c r="J225" s="472">
        <f t="shared" si="356"/>
        <v>26</v>
      </c>
      <c r="K225" s="386">
        <f t="shared" si="357"/>
        <v>15.32</v>
      </c>
      <c r="L225" s="386">
        <f t="shared" si="358"/>
        <v>41.32</v>
      </c>
      <c r="M225" s="386"/>
      <c r="N225" s="191">
        <f t="shared" si="359"/>
        <v>0.37076476282671827</v>
      </c>
      <c r="O225" s="152">
        <f t="shared" si="360"/>
        <v>1.574255222808606</v>
      </c>
      <c r="P225" s="152">
        <f t="shared" si="361"/>
        <v>3.4703581800580832</v>
      </c>
      <c r="Q225" s="191">
        <f t="shared" si="362"/>
        <v>0.1049503481872404</v>
      </c>
      <c r="R225" s="191">
        <f t="shared" si="363"/>
        <v>9.8390951425537873E-2</v>
      </c>
      <c r="S225" s="191">
        <f t="shared" si="364"/>
        <v>15</v>
      </c>
      <c r="T225" s="191">
        <f t="shared" si="365"/>
        <v>6.4316127736493256E-2</v>
      </c>
      <c r="U225" s="191">
        <f t="shared" si="366"/>
        <v>0.11626376936981472</v>
      </c>
      <c r="V225" s="191">
        <f t="shared" si="367"/>
        <v>0.19731449109759677</v>
      </c>
      <c r="W225" s="175">
        <f t="shared" si="368"/>
        <v>350</v>
      </c>
      <c r="X225" s="386">
        <f t="shared" si="369"/>
        <v>350</v>
      </c>
      <c r="Z225" s="191">
        <f t="shared" si="370"/>
        <v>0.58601117528843016</v>
      </c>
      <c r="AA225" s="153">
        <f t="shared" si="371"/>
        <v>1.7978149633522333</v>
      </c>
      <c r="AB225" s="153">
        <f t="shared" si="372"/>
        <v>8.9211019565034411E-2</v>
      </c>
      <c r="AC225" s="153"/>
      <c r="AD225" s="153">
        <f t="shared" si="373"/>
        <v>0.46018276762402083</v>
      </c>
      <c r="AE225" s="317">
        <f t="shared" si="374"/>
        <v>260.76595744680856</v>
      </c>
      <c r="AF225" s="463">
        <f t="shared" si="375"/>
        <v>1.2079797650130546E-2</v>
      </c>
      <c r="AH225" s="153">
        <f t="shared" si="376"/>
        <v>0.18417647147335867</v>
      </c>
      <c r="AI225" s="153">
        <f t="shared" si="377"/>
        <v>0.18417647147335867</v>
      </c>
      <c r="AJ225" s="153">
        <f t="shared" si="378"/>
        <v>1.1490091185410334</v>
      </c>
      <c r="AL225" s="317">
        <f t="shared" si="379"/>
        <v>9</v>
      </c>
      <c r="AM225" s="147">
        <f t="shared" si="380"/>
        <v>260.76595744680856</v>
      </c>
      <c r="AO225">
        <f t="shared" si="381"/>
        <v>9</v>
      </c>
      <c r="AP225">
        <f t="shared" si="382"/>
        <v>260.76595744680856</v>
      </c>
      <c r="AR225" s="5">
        <f t="shared" si="343"/>
        <v>3.8348563968668401</v>
      </c>
      <c r="AS225" s="5">
        <f t="shared" si="335"/>
        <v>0.33293439074030218</v>
      </c>
      <c r="AT225" s="5">
        <f t="shared" si="336"/>
        <v>3.5019220061265379</v>
      </c>
      <c r="AU225" s="153">
        <f t="shared" si="337"/>
        <v>8.6817955168364769E-2</v>
      </c>
      <c r="CI225" s="59">
        <f t="shared" si="383"/>
        <v>-50</v>
      </c>
    </row>
    <row r="226" spans="5:87" x14ac:dyDescent="0.25">
      <c r="E226" s="150">
        <v>10</v>
      </c>
      <c r="F226" s="191">
        <f t="shared" si="384"/>
        <v>1.0000000000000002E-2</v>
      </c>
      <c r="G226" s="191">
        <f t="shared" si="353"/>
        <v>1.0000000000000002E-2</v>
      </c>
      <c r="H226" s="191">
        <f t="shared" si="354"/>
        <v>0.15000000000000002</v>
      </c>
      <c r="I226" s="191">
        <f t="shared" si="355"/>
        <v>0.16000000000000003</v>
      </c>
      <c r="J226" s="472">
        <f t="shared" si="356"/>
        <v>26</v>
      </c>
      <c r="K226" s="386">
        <f t="shared" si="357"/>
        <v>15.32</v>
      </c>
      <c r="L226" s="386">
        <f t="shared" si="358"/>
        <v>41.32</v>
      </c>
      <c r="M226" s="386"/>
      <c r="N226" s="191">
        <f t="shared" si="359"/>
        <v>0.37076476282671827</v>
      </c>
      <c r="O226" s="152">
        <f t="shared" si="360"/>
        <v>1.574255222808606</v>
      </c>
      <c r="P226" s="152">
        <f t="shared" si="361"/>
        <v>3.4703581800580832</v>
      </c>
      <c r="Q226" s="191">
        <f t="shared" si="362"/>
        <v>0.1049503481872404</v>
      </c>
      <c r="R226" s="191">
        <f t="shared" si="363"/>
        <v>9.8390951425537873E-2</v>
      </c>
      <c r="S226" s="191">
        <f t="shared" si="364"/>
        <v>15</v>
      </c>
      <c r="T226" s="191">
        <f t="shared" si="365"/>
        <v>7.14623641516592E-2</v>
      </c>
      <c r="U226" s="191">
        <f t="shared" si="366"/>
        <v>0.12918196596646084</v>
      </c>
      <c r="V226" s="191">
        <f t="shared" si="367"/>
        <v>0.21923832344177427</v>
      </c>
      <c r="W226" s="175">
        <f t="shared" si="368"/>
        <v>350</v>
      </c>
      <c r="X226" s="386">
        <f t="shared" si="369"/>
        <v>350</v>
      </c>
      <c r="Z226" s="191">
        <f t="shared" si="370"/>
        <v>0.58601117528843016</v>
      </c>
      <c r="AA226" s="153">
        <f t="shared" si="371"/>
        <v>1.7978149633522333</v>
      </c>
      <c r="AB226" s="153">
        <f t="shared" si="372"/>
        <v>8.9211019565034411E-2</v>
      </c>
      <c r="AC226" s="153"/>
      <c r="AD226" s="153">
        <f t="shared" si="373"/>
        <v>0.46018276762402083</v>
      </c>
      <c r="AE226" s="317">
        <f t="shared" si="374"/>
        <v>289.73995271867625</v>
      </c>
      <c r="AF226" s="463">
        <f t="shared" si="375"/>
        <v>1.2079797650130546E-2</v>
      </c>
      <c r="AH226" s="153">
        <f t="shared" si="376"/>
        <v>0.19413904708961366</v>
      </c>
      <c r="AI226" s="153">
        <f t="shared" si="377"/>
        <v>0.19413904708961366</v>
      </c>
      <c r="AJ226" s="153">
        <f t="shared" si="378"/>
        <v>1.1655656872678151</v>
      </c>
      <c r="AL226" s="317">
        <f t="shared" si="379"/>
        <v>10.000000000000002</v>
      </c>
      <c r="AM226" s="147">
        <f t="shared" si="380"/>
        <v>289.73995271867625</v>
      </c>
      <c r="AO226">
        <f t="shared" si="381"/>
        <v>10.000000000000002</v>
      </c>
      <c r="AP226">
        <f t="shared" si="382"/>
        <v>289.73995271867625</v>
      </c>
      <c r="AR226" s="5">
        <f t="shared" si="343"/>
        <v>3.4513707571801548</v>
      </c>
      <c r="AS226" s="5">
        <f t="shared" si="335"/>
        <v>0.35094366204660932</v>
      </c>
      <c r="AT226" s="5">
        <f t="shared" si="336"/>
        <v>3.1004270951335453</v>
      </c>
      <c r="AU226" s="153">
        <f t="shared" si="337"/>
        <v>0.10168240004830369</v>
      </c>
      <c r="CI226" s="59">
        <f t="shared" si="383"/>
        <v>-50</v>
      </c>
    </row>
    <row r="227" spans="5:87" x14ac:dyDescent="0.25">
      <c r="E227" s="150">
        <v>11</v>
      </c>
      <c r="F227" s="191">
        <f t="shared" si="384"/>
        <v>1.1000000000000001E-2</v>
      </c>
      <c r="G227" s="191">
        <f t="shared" si="353"/>
        <v>1.1000000000000001E-2</v>
      </c>
      <c r="H227" s="191">
        <f t="shared" si="354"/>
        <v>0.16500000000000001</v>
      </c>
      <c r="I227" s="191">
        <f t="shared" si="355"/>
        <v>0.17600000000000002</v>
      </c>
      <c r="J227" s="472">
        <f t="shared" si="356"/>
        <v>26</v>
      </c>
      <c r="K227" s="386">
        <f t="shared" si="357"/>
        <v>15.32</v>
      </c>
      <c r="L227" s="386">
        <f t="shared" si="358"/>
        <v>41.32</v>
      </c>
      <c r="M227" s="386"/>
      <c r="N227" s="191">
        <f t="shared" si="359"/>
        <v>0.37076476282671827</v>
      </c>
      <c r="O227" s="152">
        <f t="shared" si="360"/>
        <v>1.574255222808606</v>
      </c>
      <c r="P227" s="152">
        <f t="shared" si="361"/>
        <v>3.4703581800580832</v>
      </c>
      <c r="Q227" s="191">
        <f t="shared" si="362"/>
        <v>0.1049503481872404</v>
      </c>
      <c r="R227" s="191">
        <f t="shared" si="363"/>
        <v>9.8390951425537873E-2</v>
      </c>
      <c r="S227" s="191">
        <f t="shared" si="364"/>
        <v>15</v>
      </c>
      <c r="T227" s="191">
        <f t="shared" si="365"/>
        <v>7.8608600566825115E-2</v>
      </c>
      <c r="U227" s="191">
        <f t="shared" si="366"/>
        <v>0.14210016256310692</v>
      </c>
      <c r="V227" s="191">
        <f t="shared" si="367"/>
        <v>0.24116215578595171</v>
      </c>
      <c r="W227" s="175">
        <f t="shared" si="368"/>
        <v>350</v>
      </c>
      <c r="X227" s="386">
        <f t="shared" si="369"/>
        <v>350</v>
      </c>
      <c r="Z227" s="191">
        <f t="shared" si="370"/>
        <v>0.58601117528843016</v>
      </c>
      <c r="AA227" s="153">
        <f t="shared" si="371"/>
        <v>1.7978149633522333</v>
      </c>
      <c r="AB227" s="153">
        <f t="shared" si="372"/>
        <v>8.9211019565034411E-2</v>
      </c>
      <c r="AC227" s="153"/>
      <c r="AD227" s="153">
        <f t="shared" si="373"/>
        <v>0.46018276762402083</v>
      </c>
      <c r="AE227" s="317">
        <f t="shared" si="374"/>
        <v>318.71394799054383</v>
      </c>
      <c r="AF227" s="463">
        <f t="shared" si="375"/>
        <v>1.2079797650130546E-2</v>
      </c>
      <c r="AH227" s="153">
        <f t="shared" si="376"/>
        <v>0.20361475036290852</v>
      </c>
      <c r="AI227" s="153">
        <f t="shared" si="377"/>
        <v>0.20361475036290852</v>
      </c>
      <c r="AJ227" s="153">
        <f t="shared" si="378"/>
        <v>1.1821222559945965</v>
      </c>
      <c r="AL227" s="317">
        <f t="shared" si="379"/>
        <v>11.000000000000002</v>
      </c>
      <c r="AM227" s="147">
        <f t="shared" si="380"/>
        <v>318.71394799054383</v>
      </c>
      <c r="AO227">
        <f t="shared" si="381"/>
        <v>11.000000000000002</v>
      </c>
      <c r="AP227">
        <f t="shared" si="382"/>
        <v>318.71394799054383</v>
      </c>
      <c r="AR227" s="5">
        <f t="shared" si="343"/>
        <v>3.1376097792546869</v>
      </c>
      <c r="AS227" s="5">
        <f t="shared" si="335"/>
        <v>0.36807281796371927</v>
      </c>
      <c r="AT227" s="5">
        <f t="shared" si="336"/>
        <v>2.7695369612909677</v>
      </c>
      <c r="AU227" s="153">
        <f t="shared" si="337"/>
        <v>0.11730994096122173</v>
      </c>
      <c r="CI227" s="59">
        <f t="shared" si="383"/>
        <v>-50</v>
      </c>
    </row>
    <row r="228" spans="5:87" x14ac:dyDescent="0.25">
      <c r="E228" s="150">
        <v>12</v>
      </c>
      <c r="F228" s="191">
        <f t="shared" si="384"/>
        <v>1.2E-2</v>
      </c>
      <c r="G228" s="191">
        <f t="shared" si="353"/>
        <v>1.2E-2</v>
      </c>
      <c r="H228" s="191">
        <f t="shared" si="354"/>
        <v>0.18</v>
      </c>
      <c r="I228" s="191">
        <f t="shared" si="355"/>
        <v>0.192</v>
      </c>
      <c r="J228" s="472">
        <f t="shared" si="356"/>
        <v>26</v>
      </c>
      <c r="K228" s="386">
        <f t="shared" si="357"/>
        <v>15.32</v>
      </c>
      <c r="L228" s="386">
        <f t="shared" si="358"/>
        <v>41.32</v>
      </c>
      <c r="M228" s="386"/>
      <c r="N228" s="191">
        <f t="shared" si="359"/>
        <v>0.37076476282671827</v>
      </c>
      <c r="O228" s="152">
        <f t="shared" si="360"/>
        <v>1.574255222808606</v>
      </c>
      <c r="P228" s="152">
        <f t="shared" si="361"/>
        <v>3.4703581800580832</v>
      </c>
      <c r="Q228" s="191">
        <f t="shared" si="362"/>
        <v>0.1049503481872404</v>
      </c>
      <c r="R228" s="191">
        <f t="shared" si="363"/>
        <v>9.8390951425537873E-2</v>
      </c>
      <c r="S228" s="191">
        <f t="shared" si="364"/>
        <v>15</v>
      </c>
      <c r="T228" s="191">
        <f t="shared" si="365"/>
        <v>8.5754836981991017E-2</v>
      </c>
      <c r="U228" s="191">
        <f t="shared" si="366"/>
        <v>0.15501835915975298</v>
      </c>
      <c r="V228" s="191">
        <f t="shared" si="367"/>
        <v>0.26308598813012912</v>
      </c>
      <c r="W228" s="175">
        <f t="shared" si="368"/>
        <v>350</v>
      </c>
      <c r="X228" s="386">
        <f t="shared" si="369"/>
        <v>350</v>
      </c>
      <c r="Z228" s="191">
        <f t="shared" si="370"/>
        <v>0.58601117528843016</v>
      </c>
      <c r="AA228" s="153">
        <f t="shared" si="371"/>
        <v>1.7978149633522333</v>
      </c>
      <c r="AB228" s="153">
        <f t="shared" si="372"/>
        <v>8.9211019565034411E-2</v>
      </c>
      <c r="AC228" s="153"/>
      <c r="AD228" s="153">
        <f t="shared" si="373"/>
        <v>0.46018276762402083</v>
      </c>
      <c r="AE228" s="317">
        <f t="shared" si="374"/>
        <v>347.68794326241147</v>
      </c>
      <c r="AF228" s="463">
        <f t="shared" si="375"/>
        <v>1.2079797650130546E-2</v>
      </c>
      <c r="AH228" s="153">
        <f t="shared" si="376"/>
        <v>0.21266867076707813</v>
      </c>
      <c r="AI228" s="153">
        <f t="shared" si="377"/>
        <v>0.21266867076707813</v>
      </c>
      <c r="AJ228" s="153">
        <f t="shared" si="378"/>
        <v>1.198678824721378</v>
      </c>
      <c r="AL228" s="317">
        <f t="shared" si="379"/>
        <v>12</v>
      </c>
      <c r="AM228" s="147">
        <f t="shared" si="380"/>
        <v>347.68794326241147</v>
      </c>
      <c r="AO228">
        <f t="shared" si="381"/>
        <v>12</v>
      </c>
      <c r="AP228">
        <f t="shared" si="382"/>
        <v>347.68794326241147</v>
      </c>
      <c r="AR228" s="5">
        <f t="shared" si="343"/>
        <v>2.8761422976501296</v>
      </c>
      <c r="AS228" s="5">
        <f t="shared" si="335"/>
        <v>0.38443952023279504</v>
      </c>
      <c r="AT228" s="5">
        <f t="shared" si="336"/>
        <v>2.4917027774173346</v>
      </c>
      <c r="AU228" s="153">
        <f t="shared" si="337"/>
        <v>0.13366498609852873</v>
      </c>
      <c r="CI228" s="59">
        <f t="shared" si="383"/>
        <v>-50</v>
      </c>
    </row>
    <row r="229" spans="5:87" x14ac:dyDescent="0.25">
      <c r="E229" s="150">
        <v>13</v>
      </c>
      <c r="F229" s="191">
        <f t="shared" si="384"/>
        <v>1.3000000000000001E-2</v>
      </c>
      <c r="G229" s="191">
        <f t="shared" si="353"/>
        <v>1.3000000000000001E-2</v>
      </c>
      <c r="H229" s="191">
        <f t="shared" si="354"/>
        <v>0.19500000000000001</v>
      </c>
      <c r="I229" s="191">
        <f t="shared" si="355"/>
        <v>0.20800000000000002</v>
      </c>
      <c r="J229" s="472">
        <f t="shared" si="356"/>
        <v>26</v>
      </c>
      <c r="K229" s="386">
        <f t="shared" si="357"/>
        <v>15.32</v>
      </c>
      <c r="L229" s="386">
        <f t="shared" si="358"/>
        <v>41.32</v>
      </c>
      <c r="M229" s="386"/>
      <c r="N229" s="191">
        <f t="shared" si="359"/>
        <v>0.37076476282671827</v>
      </c>
      <c r="O229" s="152">
        <f t="shared" si="360"/>
        <v>1.574255222808606</v>
      </c>
      <c r="P229" s="152">
        <f t="shared" si="361"/>
        <v>3.4703581800580832</v>
      </c>
      <c r="Q229" s="191">
        <f t="shared" si="362"/>
        <v>0.1049503481872404</v>
      </c>
      <c r="R229" s="191">
        <f t="shared" si="363"/>
        <v>9.8390951425537873E-2</v>
      </c>
      <c r="S229" s="191">
        <f t="shared" si="364"/>
        <v>15</v>
      </c>
      <c r="T229" s="191">
        <f t="shared" si="365"/>
        <v>9.2901073397156947E-2</v>
      </c>
      <c r="U229" s="191">
        <f t="shared" si="366"/>
        <v>0.1679365557563991</v>
      </c>
      <c r="V229" s="191">
        <f t="shared" si="367"/>
        <v>0.28500982047430656</v>
      </c>
      <c r="W229" s="175">
        <f t="shared" si="368"/>
        <v>350</v>
      </c>
      <c r="X229" s="386">
        <f t="shared" si="369"/>
        <v>350</v>
      </c>
      <c r="Z229" s="191">
        <f t="shared" si="370"/>
        <v>0.58601117528843016</v>
      </c>
      <c r="AA229" s="153">
        <f t="shared" si="371"/>
        <v>1.7978149633522333</v>
      </c>
      <c r="AB229" s="153">
        <f t="shared" si="372"/>
        <v>8.9211019565034411E-2</v>
      </c>
      <c r="AC229" s="153"/>
      <c r="AD229" s="153">
        <f t="shared" si="373"/>
        <v>0.46018276762402083</v>
      </c>
      <c r="AE229" s="317">
        <f t="shared" si="374"/>
        <v>376.66193853427905</v>
      </c>
      <c r="AF229" s="463">
        <f t="shared" si="375"/>
        <v>1.2079797650130546E-2</v>
      </c>
      <c r="AH229" s="153">
        <f t="shared" si="376"/>
        <v>0.22135257054374183</v>
      </c>
      <c r="AI229" s="153">
        <f t="shared" si="377"/>
        <v>0.22135257054374183</v>
      </c>
      <c r="AJ229" s="153">
        <f t="shared" si="378"/>
        <v>1.2528537559583273</v>
      </c>
      <c r="AL229" s="317">
        <f t="shared" si="379"/>
        <v>13.000000000000002</v>
      </c>
      <c r="AM229" s="147">
        <f t="shared" si="380"/>
        <v>350</v>
      </c>
      <c r="AO229">
        <f t="shared" si="381"/>
        <v>13.000000000000002</v>
      </c>
      <c r="AP229">
        <f t="shared" si="382"/>
        <v>350</v>
      </c>
      <c r="AR229" s="5">
        <f t="shared" si="343"/>
        <v>2.8571428571428572</v>
      </c>
      <c r="AS229" s="5">
        <f t="shared" si="335"/>
        <v>0.400137339059841</v>
      </c>
      <c r="AT229" s="5">
        <f t="shared" si="336"/>
        <v>2.4570055180830161</v>
      </c>
      <c r="AU229" s="153">
        <f t="shared" si="337"/>
        <v>0.14004806867094435</v>
      </c>
      <c r="CI229" s="59">
        <f t="shared" si="383"/>
        <v>-50</v>
      </c>
    </row>
    <row r="230" spans="5:87" x14ac:dyDescent="0.25">
      <c r="E230" s="150">
        <v>14</v>
      </c>
      <c r="F230" s="191">
        <f t="shared" si="384"/>
        <v>1.4000000000000002E-2</v>
      </c>
      <c r="G230" s="191">
        <f t="shared" si="353"/>
        <v>1.4000000000000002E-2</v>
      </c>
      <c r="H230" s="191">
        <f t="shared" si="354"/>
        <v>0.21000000000000002</v>
      </c>
      <c r="I230" s="191">
        <f t="shared" si="355"/>
        <v>0.22400000000000003</v>
      </c>
      <c r="J230" s="472">
        <f t="shared" si="356"/>
        <v>26</v>
      </c>
      <c r="K230" s="386">
        <f t="shared" si="357"/>
        <v>15.32</v>
      </c>
      <c r="L230" s="386">
        <f t="shared" si="358"/>
        <v>41.32</v>
      </c>
      <c r="M230" s="386"/>
      <c r="N230" s="191">
        <f t="shared" si="359"/>
        <v>0.37076476282671827</v>
      </c>
      <c r="O230" s="152">
        <f t="shared" si="360"/>
        <v>1.574255222808606</v>
      </c>
      <c r="P230" s="152">
        <f t="shared" si="361"/>
        <v>3.4703581800580832</v>
      </c>
      <c r="Q230" s="191">
        <f t="shared" si="362"/>
        <v>0.1049503481872404</v>
      </c>
      <c r="R230" s="191">
        <f t="shared" si="363"/>
        <v>9.8390951425537873E-2</v>
      </c>
      <c r="S230" s="191">
        <f t="shared" si="364"/>
        <v>15</v>
      </c>
      <c r="T230" s="191">
        <f t="shared" si="365"/>
        <v>0.10004730981232288</v>
      </c>
      <c r="U230" s="191">
        <f t="shared" si="366"/>
        <v>0.18085475235304521</v>
      </c>
      <c r="V230" s="191">
        <f t="shared" si="367"/>
        <v>0.30693365281848406</v>
      </c>
      <c r="W230" s="175">
        <f t="shared" si="368"/>
        <v>350</v>
      </c>
      <c r="X230" s="386">
        <f t="shared" si="369"/>
        <v>350</v>
      </c>
      <c r="Z230" s="191">
        <f t="shared" si="370"/>
        <v>0.58601117528843016</v>
      </c>
      <c r="AA230" s="153">
        <f t="shared" si="371"/>
        <v>1.7978149633522333</v>
      </c>
      <c r="AB230" s="153">
        <f t="shared" si="372"/>
        <v>8.9211019565034411E-2</v>
      </c>
      <c r="AC230" s="153"/>
      <c r="AD230" s="153">
        <f t="shared" si="373"/>
        <v>0.46018276762402083</v>
      </c>
      <c r="AE230" s="317">
        <f t="shared" si="374"/>
        <v>405.63593380614674</v>
      </c>
      <c r="AF230" s="463">
        <f t="shared" si="375"/>
        <v>1.2079797650130546E-2</v>
      </c>
      <c r="AH230" s="153">
        <f t="shared" si="376"/>
        <v>0.22970841831941755</v>
      </c>
      <c r="AI230" s="153">
        <f t="shared" si="377"/>
        <v>0.22970841831941755</v>
      </c>
      <c r="AJ230" s="153">
        <f t="shared" si="378"/>
        <v>1.259043272829198</v>
      </c>
      <c r="AL230" s="317">
        <f t="shared" si="379"/>
        <v>14.000000000000002</v>
      </c>
      <c r="AM230" s="147">
        <f t="shared" si="380"/>
        <v>350</v>
      </c>
      <c r="AO230">
        <f t="shared" si="381"/>
        <v>14.000000000000002</v>
      </c>
      <c r="AP230">
        <f t="shared" si="382"/>
        <v>350</v>
      </c>
      <c r="AR230" s="5">
        <f t="shared" si="343"/>
        <v>2.8571428571428572</v>
      </c>
      <c r="AS230" s="5">
        <f t="shared" si="335"/>
        <v>0.4152421408081779</v>
      </c>
      <c r="AT230" s="5">
        <f t="shared" si="336"/>
        <v>2.4419007163346791</v>
      </c>
      <c r="AU230" s="153">
        <f t="shared" si="337"/>
        <v>0.14533474928286225</v>
      </c>
      <c r="CI230" s="59">
        <f t="shared" si="383"/>
        <v>-50</v>
      </c>
    </row>
    <row r="231" spans="5:87" x14ac:dyDescent="0.25">
      <c r="E231" s="150">
        <v>15</v>
      </c>
      <c r="F231" s="191">
        <f t="shared" si="384"/>
        <v>1.4999999999999999E-2</v>
      </c>
      <c r="G231" s="191">
        <f t="shared" si="353"/>
        <v>1.4999999999999999E-2</v>
      </c>
      <c r="H231" s="191">
        <f t="shared" si="354"/>
        <v>0.22499999999999998</v>
      </c>
      <c r="I231" s="191">
        <f t="shared" si="355"/>
        <v>0.24</v>
      </c>
      <c r="J231" s="472">
        <f t="shared" si="356"/>
        <v>26</v>
      </c>
      <c r="K231" s="386">
        <f t="shared" si="357"/>
        <v>15.32</v>
      </c>
      <c r="L231" s="386">
        <f t="shared" si="358"/>
        <v>41.32</v>
      </c>
      <c r="M231" s="386"/>
      <c r="N231" s="191">
        <f t="shared" si="359"/>
        <v>0.37076476282671827</v>
      </c>
      <c r="O231" s="152">
        <f t="shared" si="360"/>
        <v>1.574255222808606</v>
      </c>
      <c r="P231" s="152">
        <f t="shared" si="361"/>
        <v>3.4703581800580832</v>
      </c>
      <c r="Q231" s="191">
        <f t="shared" si="362"/>
        <v>0.1049503481872404</v>
      </c>
      <c r="R231" s="191">
        <f t="shared" si="363"/>
        <v>9.8390951425537873E-2</v>
      </c>
      <c r="S231" s="191">
        <f t="shared" si="364"/>
        <v>15</v>
      </c>
      <c r="T231" s="191">
        <f t="shared" si="365"/>
        <v>0.10719354622748876</v>
      </c>
      <c r="U231" s="191">
        <f t="shared" si="366"/>
        <v>0.19377294894969121</v>
      </c>
      <c r="V231" s="191">
        <f t="shared" si="367"/>
        <v>0.32885748516266133</v>
      </c>
      <c r="W231" s="175">
        <f t="shared" si="368"/>
        <v>350</v>
      </c>
      <c r="X231" s="386">
        <f t="shared" si="369"/>
        <v>350</v>
      </c>
      <c r="Z231" s="191">
        <f t="shared" si="370"/>
        <v>0.58601117528843016</v>
      </c>
      <c r="AA231" s="153">
        <f t="shared" si="371"/>
        <v>1.7978149633522333</v>
      </c>
      <c r="AB231" s="153">
        <f t="shared" si="372"/>
        <v>8.9211019565034411E-2</v>
      </c>
      <c r="AC231" s="153"/>
      <c r="AD231" s="153">
        <f t="shared" si="373"/>
        <v>0.46018276762402083</v>
      </c>
      <c r="AE231" s="317">
        <f t="shared" si="374"/>
        <v>434.6099290780142</v>
      </c>
      <c r="AF231" s="463">
        <f t="shared" si="375"/>
        <v>1.2079797650130546E-2</v>
      </c>
      <c r="AH231" s="153">
        <f t="shared" si="376"/>
        <v>0.2377708022598545</v>
      </c>
      <c r="AI231" s="153">
        <f t="shared" si="377"/>
        <v>0.2377708022598545</v>
      </c>
      <c r="AJ231" s="153">
        <f t="shared" si="378"/>
        <v>1.2650154090813737</v>
      </c>
      <c r="AL231" s="317">
        <f t="shared" si="379"/>
        <v>15</v>
      </c>
      <c r="AM231" s="147">
        <f t="shared" si="380"/>
        <v>350</v>
      </c>
      <c r="AO231">
        <f t="shared" si="381"/>
        <v>15</v>
      </c>
      <c r="AP231">
        <f t="shared" si="382"/>
        <v>350</v>
      </c>
      <c r="AR231" s="5">
        <f t="shared" si="343"/>
        <v>2.8571428571428572</v>
      </c>
      <c r="AS231" s="5">
        <f t="shared" si="335"/>
        <v>0.4298164502389677</v>
      </c>
      <c r="AT231" s="5">
        <f t="shared" si="336"/>
        <v>2.4273264069038896</v>
      </c>
      <c r="AU231" s="153">
        <f t="shared" si="337"/>
        <v>0.1504357575836387</v>
      </c>
      <c r="CI231" s="59">
        <f t="shared" si="383"/>
        <v>-50</v>
      </c>
    </row>
    <row r="232" spans="5:87" x14ac:dyDescent="0.25">
      <c r="E232" s="150">
        <v>16</v>
      </c>
      <c r="F232" s="191">
        <f t="shared" si="384"/>
        <v>1.6E-2</v>
      </c>
      <c r="G232" s="191">
        <f t="shared" si="353"/>
        <v>1.6E-2</v>
      </c>
      <c r="H232" s="191">
        <f t="shared" si="354"/>
        <v>0.24</v>
      </c>
      <c r="I232" s="191">
        <f t="shared" si="355"/>
        <v>0.25600000000000001</v>
      </c>
      <c r="J232" s="472">
        <f t="shared" si="356"/>
        <v>26</v>
      </c>
      <c r="K232" s="386">
        <f t="shared" si="357"/>
        <v>15.32</v>
      </c>
      <c r="L232" s="386">
        <f t="shared" si="358"/>
        <v>41.32</v>
      </c>
      <c r="M232" s="386"/>
      <c r="N232" s="191">
        <f t="shared" si="359"/>
        <v>0.37076476282671827</v>
      </c>
      <c r="O232" s="152">
        <f t="shared" si="360"/>
        <v>1.574255222808606</v>
      </c>
      <c r="P232" s="152">
        <f t="shared" si="361"/>
        <v>3.4703581800580832</v>
      </c>
      <c r="Q232" s="191">
        <f t="shared" si="362"/>
        <v>0.1049503481872404</v>
      </c>
      <c r="R232" s="191">
        <f t="shared" si="363"/>
        <v>9.8390951425537873E-2</v>
      </c>
      <c r="S232" s="191">
        <f t="shared" si="364"/>
        <v>15</v>
      </c>
      <c r="T232" s="191">
        <f t="shared" si="365"/>
        <v>0.11433978264265469</v>
      </c>
      <c r="U232" s="191">
        <f t="shared" si="366"/>
        <v>0.2066911455463373</v>
      </c>
      <c r="V232" s="191">
        <f t="shared" si="367"/>
        <v>0.35078131750683877</v>
      </c>
      <c r="W232" s="175">
        <f t="shared" si="368"/>
        <v>350</v>
      </c>
      <c r="X232" s="386">
        <f t="shared" si="369"/>
        <v>350</v>
      </c>
      <c r="Z232" s="191">
        <f t="shared" si="370"/>
        <v>0.58601117528843016</v>
      </c>
      <c r="AA232" s="153">
        <f t="shared" si="371"/>
        <v>1.7978149633522333</v>
      </c>
      <c r="AB232" s="153">
        <f t="shared" si="372"/>
        <v>8.9211019565034411E-2</v>
      </c>
      <c r="AC232" s="153"/>
      <c r="AD232" s="153">
        <f t="shared" si="373"/>
        <v>0.46018276762402083</v>
      </c>
      <c r="AE232" s="317">
        <f t="shared" si="374"/>
        <v>463.58392434988195</v>
      </c>
      <c r="AF232" s="463">
        <f t="shared" si="375"/>
        <v>1.2079797650130546E-2</v>
      </c>
      <c r="AH232" s="153">
        <f t="shared" si="376"/>
        <v>0.2455686286311449</v>
      </c>
      <c r="AI232" s="153">
        <f t="shared" si="377"/>
        <v>0.2455686286311449</v>
      </c>
      <c r="AJ232" s="153">
        <f t="shared" si="378"/>
        <v>1.2707915767638109</v>
      </c>
      <c r="AL232" s="317">
        <f t="shared" si="379"/>
        <v>16</v>
      </c>
      <c r="AM232" s="147">
        <f t="shared" si="380"/>
        <v>350</v>
      </c>
      <c r="AO232">
        <f t="shared" si="381"/>
        <v>16</v>
      </c>
      <c r="AP232">
        <f t="shared" si="382"/>
        <v>350</v>
      </c>
      <c r="AR232" s="5">
        <f t="shared" si="343"/>
        <v>2.8571428571428572</v>
      </c>
      <c r="AS232" s="5">
        <f t="shared" si="335"/>
        <v>0.44391252098706963</v>
      </c>
      <c r="AT232" s="5">
        <f t="shared" si="336"/>
        <v>2.4132303361557876</v>
      </c>
      <c r="AU232" s="153">
        <f t="shared" si="337"/>
        <v>0.15536938234547437</v>
      </c>
      <c r="CI232" s="59">
        <f t="shared" si="383"/>
        <v>-50</v>
      </c>
    </row>
    <row r="233" spans="5:87" x14ac:dyDescent="0.25">
      <c r="E233" s="150">
        <v>17</v>
      </c>
      <c r="F233" s="191">
        <f t="shared" si="384"/>
        <v>1.7000000000000001E-2</v>
      </c>
      <c r="G233" s="191">
        <f t="shared" si="353"/>
        <v>1.7000000000000001E-2</v>
      </c>
      <c r="H233" s="191">
        <f t="shared" si="354"/>
        <v>0.255</v>
      </c>
      <c r="I233" s="191">
        <f t="shared" si="355"/>
        <v>0.27200000000000002</v>
      </c>
      <c r="J233" s="472">
        <f t="shared" si="356"/>
        <v>26</v>
      </c>
      <c r="K233" s="386">
        <f t="shared" si="357"/>
        <v>15.32</v>
      </c>
      <c r="L233" s="386">
        <f t="shared" si="358"/>
        <v>41.32</v>
      </c>
      <c r="M233" s="386"/>
      <c r="N233" s="191">
        <f t="shared" si="359"/>
        <v>0.37076476282671827</v>
      </c>
      <c r="O233" s="152">
        <f t="shared" si="360"/>
        <v>1.574255222808606</v>
      </c>
      <c r="P233" s="152">
        <f t="shared" si="361"/>
        <v>3.4703581800580832</v>
      </c>
      <c r="Q233" s="191">
        <f t="shared" si="362"/>
        <v>0.1049503481872404</v>
      </c>
      <c r="R233" s="191">
        <f t="shared" si="363"/>
        <v>9.8390951425537873E-2</v>
      </c>
      <c r="S233" s="191">
        <f t="shared" si="364"/>
        <v>15</v>
      </c>
      <c r="T233" s="191">
        <f t="shared" si="365"/>
        <v>0.12148601905782062</v>
      </c>
      <c r="U233" s="191">
        <f t="shared" si="366"/>
        <v>0.21960934214298344</v>
      </c>
      <c r="V233" s="191">
        <f t="shared" si="367"/>
        <v>0.37270514985101627</v>
      </c>
      <c r="W233" s="175">
        <f t="shared" si="368"/>
        <v>350</v>
      </c>
      <c r="X233" s="386">
        <f t="shared" si="369"/>
        <v>350</v>
      </c>
      <c r="Z233" s="191">
        <f t="shared" si="370"/>
        <v>0.58601117528843016</v>
      </c>
      <c r="AA233" s="153">
        <f t="shared" si="371"/>
        <v>1.7978149633522333</v>
      </c>
      <c r="AB233" s="153">
        <f t="shared" si="372"/>
        <v>8.9211019565034411E-2</v>
      </c>
      <c r="AC233" s="153"/>
      <c r="AD233" s="153">
        <f t="shared" si="373"/>
        <v>0.46018276762402083</v>
      </c>
      <c r="AE233" s="317">
        <f t="shared" si="374"/>
        <v>492.55791962174953</v>
      </c>
      <c r="AF233" s="463">
        <f t="shared" si="375"/>
        <v>1.2079797650130546E-2</v>
      </c>
      <c r="AH233" s="153">
        <f t="shared" si="376"/>
        <v>0.25312634854607191</v>
      </c>
      <c r="AI233" s="153">
        <f t="shared" si="377"/>
        <v>0.25312634854607191</v>
      </c>
      <c r="AJ233" s="153">
        <f t="shared" si="378"/>
        <v>1.2763898878119051</v>
      </c>
      <c r="AL233" s="317">
        <f t="shared" si="379"/>
        <v>17</v>
      </c>
      <c r="AM233" s="147">
        <f t="shared" si="380"/>
        <v>350</v>
      </c>
      <c r="AO233">
        <f t="shared" si="381"/>
        <v>17</v>
      </c>
      <c r="AP233">
        <f t="shared" si="382"/>
        <v>350</v>
      </c>
      <c r="AR233" s="5">
        <f t="shared" si="343"/>
        <v>2.8571428571428572</v>
      </c>
      <c r="AS233" s="5">
        <f t="shared" si="335"/>
        <v>0.45757455314097611</v>
      </c>
      <c r="AT233" s="5">
        <f t="shared" si="336"/>
        <v>2.3995683040018809</v>
      </c>
      <c r="AU233" s="153">
        <f t="shared" si="337"/>
        <v>0.16015109359934163</v>
      </c>
      <c r="CI233" s="59">
        <f t="shared" si="383"/>
        <v>-50</v>
      </c>
    </row>
    <row r="234" spans="5:87" x14ac:dyDescent="0.25">
      <c r="E234" s="150">
        <v>18</v>
      </c>
      <c r="F234" s="191">
        <f t="shared" si="384"/>
        <v>1.7999999999999999E-2</v>
      </c>
      <c r="G234" s="191">
        <f t="shared" si="353"/>
        <v>1.7999999999999999E-2</v>
      </c>
      <c r="H234" s="191">
        <f t="shared" si="354"/>
        <v>0.26999999999999996</v>
      </c>
      <c r="I234" s="191">
        <f t="shared" si="355"/>
        <v>0.28799999999999998</v>
      </c>
      <c r="J234" s="472">
        <f t="shared" si="356"/>
        <v>26</v>
      </c>
      <c r="K234" s="386">
        <f t="shared" si="357"/>
        <v>15.32</v>
      </c>
      <c r="L234" s="386">
        <f t="shared" si="358"/>
        <v>41.32</v>
      </c>
      <c r="M234" s="386"/>
      <c r="N234" s="191">
        <f t="shared" si="359"/>
        <v>0.37076476282671827</v>
      </c>
      <c r="O234" s="152">
        <f t="shared" si="360"/>
        <v>1.574255222808606</v>
      </c>
      <c r="P234" s="152">
        <f t="shared" si="361"/>
        <v>3.4703581800580832</v>
      </c>
      <c r="Q234" s="191">
        <f t="shared" si="362"/>
        <v>0.1049503481872404</v>
      </c>
      <c r="R234" s="191">
        <f t="shared" si="363"/>
        <v>9.8390951425537873E-2</v>
      </c>
      <c r="S234" s="191">
        <f t="shared" si="364"/>
        <v>15</v>
      </c>
      <c r="T234" s="191">
        <f t="shared" si="365"/>
        <v>0.12863225547298651</v>
      </c>
      <c r="U234" s="191">
        <f t="shared" si="366"/>
        <v>0.23252753873962945</v>
      </c>
      <c r="V234" s="191">
        <f t="shared" si="367"/>
        <v>0.39462898219519355</v>
      </c>
      <c r="W234" s="175">
        <f t="shared" si="368"/>
        <v>350</v>
      </c>
      <c r="X234" s="386">
        <f t="shared" si="369"/>
        <v>350</v>
      </c>
      <c r="Z234" s="191">
        <f t="shared" si="370"/>
        <v>0.58601117528843016</v>
      </c>
      <c r="AA234" s="153">
        <f t="shared" si="371"/>
        <v>1.7978149633522333</v>
      </c>
      <c r="AB234" s="153">
        <f t="shared" si="372"/>
        <v>8.9211019565034411E-2</v>
      </c>
      <c r="AC234" s="153"/>
      <c r="AD234" s="153">
        <f t="shared" si="373"/>
        <v>0.46018276762402083</v>
      </c>
      <c r="AE234" s="317">
        <f t="shared" si="374"/>
        <v>521.53191489361711</v>
      </c>
      <c r="AF234" s="463">
        <f t="shared" si="375"/>
        <v>1.2079797650130546E-2</v>
      </c>
      <c r="AH234" s="153">
        <f t="shared" si="376"/>
        <v>0.26046486382764528</v>
      </c>
      <c r="AI234" s="153">
        <f t="shared" si="377"/>
        <v>0.26046486382764528</v>
      </c>
      <c r="AJ234" s="153">
        <f t="shared" si="378"/>
        <v>1.281825825057515</v>
      </c>
      <c r="AL234" s="317">
        <f t="shared" si="379"/>
        <v>18</v>
      </c>
      <c r="AM234" s="147">
        <f t="shared" si="380"/>
        <v>350</v>
      </c>
      <c r="AO234">
        <f t="shared" si="381"/>
        <v>18</v>
      </c>
      <c r="AP234">
        <f t="shared" si="382"/>
        <v>350</v>
      </c>
      <c r="AR234" s="5">
        <f t="shared" si="343"/>
        <v>2.8571428571428572</v>
      </c>
      <c r="AS234" s="5">
        <f t="shared" si="335"/>
        <v>0.47084033076535881</v>
      </c>
      <c r="AT234" s="5">
        <f t="shared" si="336"/>
        <v>2.3863025263774986</v>
      </c>
      <c r="AU234" s="153">
        <f t="shared" si="337"/>
        <v>0.16479411576787559</v>
      </c>
      <c r="CI234" s="59">
        <f t="shared" si="383"/>
        <v>-50</v>
      </c>
    </row>
    <row r="235" spans="5:87" x14ac:dyDescent="0.25">
      <c r="E235" s="150">
        <v>19</v>
      </c>
      <c r="F235" s="191">
        <f t="shared" si="384"/>
        <v>1.9000000000000003E-2</v>
      </c>
      <c r="G235" s="191">
        <f t="shared" si="353"/>
        <v>1.9000000000000003E-2</v>
      </c>
      <c r="H235" s="191">
        <f t="shared" si="354"/>
        <v>0.28500000000000003</v>
      </c>
      <c r="I235" s="191">
        <f t="shared" si="355"/>
        <v>0.30400000000000005</v>
      </c>
      <c r="J235" s="472">
        <f t="shared" si="356"/>
        <v>26</v>
      </c>
      <c r="K235" s="386">
        <f t="shared" si="357"/>
        <v>15.32</v>
      </c>
      <c r="L235" s="386">
        <f t="shared" si="358"/>
        <v>41.32</v>
      </c>
      <c r="M235" s="386"/>
      <c r="N235" s="191">
        <f t="shared" si="359"/>
        <v>0.37076476282671827</v>
      </c>
      <c r="O235" s="152">
        <f t="shared" si="360"/>
        <v>1.574255222808606</v>
      </c>
      <c r="P235" s="152">
        <f t="shared" si="361"/>
        <v>3.4703581800580832</v>
      </c>
      <c r="Q235" s="191">
        <f t="shared" si="362"/>
        <v>0.1049503481872404</v>
      </c>
      <c r="R235" s="191">
        <f t="shared" si="363"/>
        <v>9.8390951425537873E-2</v>
      </c>
      <c r="S235" s="191">
        <f t="shared" si="364"/>
        <v>15</v>
      </c>
      <c r="T235" s="191">
        <f t="shared" si="365"/>
        <v>0.13577849188815247</v>
      </c>
      <c r="U235" s="191">
        <f t="shared" si="366"/>
        <v>0.24544573533627564</v>
      </c>
      <c r="V235" s="191">
        <f t="shared" si="367"/>
        <v>0.41655281453937115</v>
      </c>
      <c r="W235" s="175">
        <f t="shared" si="368"/>
        <v>350</v>
      </c>
      <c r="X235" s="386">
        <f t="shared" si="369"/>
        <v>350</v>
      </c>
      <c r="Z235" s="191">
        <f t="shared" si="370"/>
        <v>0.58601117528843016</v>
      </c>
      <c r="AA235" s="153">
        <f t="shared" si="371"/>
        <v>1.7978149633522333</v>
      </c>
      <c r="AB235" s="153">
        <f t="shared" si="372"/>
        <v>8.9211019565034411E-2</v>
      </c>
      <c r="AC235" s="153"/>
      <c r="AD235" s="153">
        <f t="shared" si="373"/>
        <v>0.46018276762402083</v>
      </c>
      <c r="AE235" s="317">
        <f t="shared" si="374"/>
        <v>550.50591016548492</v>
      </c>
      <c r="AF235" s="463">
        <f t="shared" si="375"/>
        <v>1.2079797650130546E-2</v>
      </c>
      <c r="AH235" s="153">
        <f t="shared" si="376"/>
        <v>0.26760220897675741</v>
      </c>
      <c r="AI235" s="153">
        <f t="shared" si="377"/>
        <v>0.26760220897675741</v>
      </c>
      <c r="AJ235" s="153">
        <f t="shared" si="378"/>
        <v>1.2871127473901907</v>
      </c>
      <c r="AL235" s="317">
        <f t="shared" si="379"/>
        <v>19.000000000000004</v>
      </c>
      <c r="AM235" s="147">
        <f t="shared" si="380"/>
        <v>350</v>
      </c>
      <c r="AO235">
        <f t="shared" si="381"/>
        <v>19.000000000000004</v>
      </c>
      <c r="AP235">
        <f t="shared" si="382"/>
        <v>350</v>
      </c>
      <c r="AR235" s="5">
        <f t="shared" si="343"/>
        <v>2.8571428571428572</v>
      </c>
      <c r="AS235" s="5">
        <f t="shared" si="335"/>
        <v>0.48374245468875382</v>
      </c>
      <c r="AT235" s="5">
        <f t="shared" si="336"/>
        <v>2.3734004024541036</v>
      </c>
      <c r="AU235" s="153">
        <f t="shared" si="337"/>
        <v>0.16930985914106383</v>
      </c>
      <c r="CI235" s="59">
        <f t="shared" si="383"/>
        <v>-50</v>
      </c>
    </row>
    <row r="236" spans="5:87" x14ac:dyDescent="0.25">
      <c r="E236" s="150">
        <v>20</v>
      </c>
      <c r="F236" s="191">
        <f t="shared" si="384"/>
        <v>2.0000000000000004E-2</v>
      </c>
      <c r="G236" s="191">
        <f t="shared" si="353"/>
        <v>2.0000000000000004E-2</v>
      </c>
      <c r="H236" s="191">
        <f t="shared" si="354"/>
        <v>0.30000000000000004</v>
      </c>
      <c r="I236" s="191">
        <f t="shared" si="355"/>
        <v>0.32000000000000006</v>
      </c>
      <c r="J236" s="472">
        <f t="shared" si="356"/>
        <v>26</v>
      </c>
      <c r="K236" s="386">
        <f t="shared" si="357"/>
        <v>15.32</v>
      </c>
      <c r="L236" s="386">
        <f t="shared" si="358"/>
        <v>41.32</v>
      </c>
      <c r="M236" s="386"/>
      <c r="N236" s="191">
        <f t="shared" si="359"/>
        <v>0.37076476282671827</v>
      </c>
      <c r="O236" s="152">
        <f t="shared" si="360"/>
        <v>1.574255222808606</v>
      </c>
      <c r="P236" s="152">
        <f t="shared" si="361"/>
        <v>3.4703581800580832</v>
      </c>
      <c r="Q236" s="191">
        <f t="shared" si="362"/>
        <v>0.1049503481872404</v>
      </c>
      <c r="R236" s="191">
        <f t="shared" si="363"/>
        <v>9.8390951425537873E-2</v>
      </c>
      <c r="S236" s="191">
        <f t="shared" si="364"/>
        <v>15</v>
      </c>
      <c r="T236" s="191">
        <f t="shared" si="365"/>
        <v>0.1429247283033184</v>
      </c>
      <c r="U236" s="191">
        <f t="shared" si="366"/>
        <v>0.25836393193292168</v>
      </c>
      <c r="V236" s="191">
        <f t="shared" si="367"/>
        <v>0.43847664688354854</v>
      </c>
      <c r="W236" s="175">
        <f t="shared" si="368"/>
        <v>350</v>
      </c>
      <c r="X236" s="386">
        <f t="shared" si="369"/>
        <v>350</v>
      </c>
      <c r="Z236" s="191">
        <f t="shared" si="370"/>
        <v>0.58601117528843016</v>
      </c>
      <c r="AA236" s="153">
        <f t="shared" si="371"/>
        <v>1.7978149633522333</v>
      </c>
      <c r="AB236" s="153">
        <f t="shared" si="372"/>
        <v>8.9211019565034411E-2</v>
      </c>
      <c r="AC236" s="153"/>
      <c r="AD236" s="153">
        <f t="shared" si="373"/>
        <v>0.46018276762402083</v>
      </c>
      <c r="AE236" s="317">
        <f t="shared" si="374"/>
        <v>579.4799054373525</v>
      </c>
      <c r="AF236" s="463">
        <f t="shared" si="375"/>
        <v>1.2079797650130546E-2</v>
      </c>
      <c r="AH236" s="153">
        <f t="shared" si="376"/>
        <v>0.27455407338032062</v>
      </c>
      <c r="AI236" s="153">
        <f t="shared" si="377"/>
        <v>0.27455407338032062</v>
      </c>
      <c r="AJ236" s="153">
        <f t="shared" si="378"/>
        <v>1.2922622765780152</v>
      </c>
      <c r="AL236" s="317">
        <f t="shared" si="379"/>
        <v>20.000000000000004</v>
      </c>
      <c r="AM236" s="147">
        <f t="shared" si="380"/>
        <v>350</v>
      </c>
      <c r="AO236">
        <f t="shared" si="381"/>
        <v>20.000000000000004</v>
      </c>
      <c r="AP236">
        <f t="shared" si="382"/>
        <v>350</v>
      </c>
      <c r="AR236" s="5">
        <f t="shared" si="343"/>
        <v>2.8571428571428572</v>
      </c>
      <c r="AS236" s="5">
        <f t="shared" si="335"/>
        <v>0.49630928649519496</v>
      </c>
      <c r="AT236" s="5">
        <f t="shared" si="336"/>
        <v>2.3608335706476624</v>
      </c>
      <c r="AU236" s="153">
        <f t="shared" si="337"/>
        <v>0.17370825027331824</v>
      </c>
      <c r="CI236" s="59">
        <f t="shared" si="383"/>
        <v>-50</v>
      </c>
    </row>
    <row r="237" spans="5:87" x14ac:dyDescent="0.25">
      <c r="E237" s="150">
        <v>21</v>
      </c>
      <c r="F237" s="191">
        <f t="shared" si="384"/>
        <v>2.1000000000000001E-2</v>
      </c>
      <c r="G237" s="191">
        <f t="shared" si="353"/>
        <v>2.1000000000000001E-2</v>
      </c>
      <c r="H237" s="191">
        <f t="shared" si="354"/>
        <v>0.315</v>
      </c>
      <c r="I237" s="191">
        <f t="shared" si="355"/>
        <v>0.33600000000000002</v>
      </c>
      <c r="J237" s="472">
        <f t="shared" si="356"/>
        <v>26</v>
      </c>
      <c r="K237" s="386">
        <f t="shared" si="357"/>
        <v>15.32</v>
      </c>
      <c r="L237" s="386">
        <f t="shared" si="358"/>
        <v>41.32</v>
      </c>
      <c r="M237" s="386"/>
      <c r="N237" s="191">
        <f t="shared" si="359"/>
        <v>0.37076476282671827</v>
      </c>
      <c r="O237" s="152">
        <f t="shared" si="360"/>
        <v>1.574255222808606</v>
      </c>
      <c r="P237" s="152">
        <f t="shared" si="361"/>
        <v>3.4703581800580832</v>
      </c>
      <c r="Q237" s="191">
        <f t="shared" si="362"/>
        <v>0.1049503481872404</v>
      </c>
      <c r="R237" s="191">
        <f t="shared" si="363"/>
        <v>9.8390951425537873E-2</v>
      </c>
      <c r="S237" s="191">
        <f t="shared" si="364"/>
        <v>15</v>
      </c>
      <c r="T237" s="191">
        <f t="shared" si="365"/>
        <v>0.1500709647184843</v>
      </c>
      <c r="U237" s="191">
        <f t="shared" si="366"/>
        <v>0.27128212852956779</v>
      </c>
      <c r="V237" s="191">
        <f t="shared" si="367"/>
        <v>0.46040047922772598</v>
      </c>
      <c r="W237" s="175">
        <f t="shared" si="368"/>
        <v>350</v>
      </c>
      <c r="X237" s="386">
        <f t="shared" si="369"/>
        <v>350</v>
      </c>
      <c r="Z237" s="191">
        <f t="shared" si="370"/>
        <v>0.58601117528843016</v>
      </c>
      <c r="AA237" s="153">
        <f t="shared" si="371"/>
        <v>1.7978149633522333</v>
      </c>
      <c r="AB237" s="153">
        <f t="shared" si="372"/>
        <v>8.9211019565034411E-2</v>
      </c>
      <c r="AC237" s="153"/>
      <c r="AD237" s="153">
        <f t="shared" si="373"/>
        <v>0.46018276762402083</v>
      </c>
      <c r="AE237" s="317">
        <f t="shared" si="374"/>
        <v>608.45390070922008</v>
      </c>
      <c r="AF237" s="463">
        <f t="shared" si="375"/>
        <v>1.2079797650130546E-2</v>
      </c>
      <c r="AH237" s="153">
        <f t="shared" si="376"/>
        <v>0.28133420725218039</v>
      </c>
      <c r="AI237" s="153">
        <f t="shared" si="377"/>
        <v>0.28133420725218039</v>
      </c>
      <c r="AJ237" s="153">
        <f t="shared" si="378"/>
        <v>1.297284597964578</v>
      </c>
      <c r="AL237" s="317">
        <f t="shared" si="379"/>
        <v>21</v>
      </c>
      <c r="AM237" s="147">
        <f t="shared" si="380"/>
        <v>350</v>
      </c>
      <c r="AO237">
        <f t="shared" si="381"/>
        <v>21</v>
      </c>
      <c r="AP237">
        <f t="shared" si="382"/>
        <v>350</v>
      </c>
      <c r="AR237" s="5">
        <f t="shared" si="343"/>
        <v>2.8571428571428572</v>
      </c>
      <c r="AS237" s="5">
        <f t="shared" si="335"/>
        <v>0.50856568234047983</v>
      </c>
      <c r="AT237" s="5">
        <f t="shared" si="336"/>
        <v>2.3485771748023776</v>
      </c>
      <c r="AU237" s="153">
        <f t="shared" si="337"/>
        <v>0.17799798881916792</v>
      </c>
      <c r="CI237" s="59">
        <f t="shared" si="383"/>
        <v>-50</v>
      </c>
    </row>
    <row r="238" spans="5:87" x14ac:dyDescent="0.25">
      <c r="E238" s="150">
        <v>22</v>
      </c>
      <c r="F238" s="191">
        <f t="shared" si="384"/>
        <v>2.2000000000000002E-2</v>
      </c>
      <c r="G238" s="191">
        <f t="shared" si="353"/>
        <v>2.2000000000000002E-2</v>
      </c>
      <c r="H238" s="191">
        <f t="shared" si="354"/>
        <v>0.33</v>
      </c>
      <c r="I238" s="191">
        <f t="shared" si="355"/>
        <v>0.35200000000000004</v>
      </c>
      <c r="J238" s="472">
        <f t="shared" si="356"/>
        <v>26</v>
      </c>
      <c r="K238" s="386">
        <f t="shared" si="357"/>
        <v>15.32</v>
      </c>
      <c r="L238" s="386">
        <f t="shared" si="358"/>
        <v>41.32</v>
      </c>
      <c r="M238" s="386"/>
      <c r="N238" s="191">
        <f t="shared" si="359"/>
        <v>0.37076476282671827</v>
      </c>
      <c r="O238" s="152">
        <f t="shared" si="360"/>
        <v>1.574255222808606</v>
      </c>
      <c r="P238" s="152">
        <f t="shared" si="361"/>
        <v>3.4703581800580832</v>
      </c>
      <c r="Q238" s="191">
        <f t="shared" si="362"/>
        <v>0.1049503481872404</v>
      </c>
      <c r="R238" s="191">
        <f t="shared" si="363"/>
        <v>9.8390951425537873E-2</v>
      </c>
      <c r="S238" s="191">
        <f t="shared" si="364"/>
        <v>15</v>
      </c>
      <c r="T238" s="191">
        <f t="shared" si="365"/>
        <v>0.15721720113365023</v>
      </c>
      <c r="U238" s="191">
        <f t="shared" si="366"/>
        <v>0.28420032512621385</v>
      </c>
      <c r="V238" s="191">
        <f t="shared" si="367"/>
        <v>0.48232431157190342</v>
      </c>
      <c r="W238" s="175">
        <f t="shared" si="368"/>
        <v>350</v>
      </c>
      <c r="X238" s="386">
        <f t="shared" si="369"/>
        <v>350</v>
      </c>
      <c r="Z238" s="191">
        <f t="shared" si="370"/>
        <v>0.58601117528843016</v>
      </c>
      <c r="AA238" s="153">
        <f t="shared" si="371"/>
        <v>1.7978149633522333</v>
      </c>
      <c r="AB238" s="153">
        <f t="shared" si="372"/>
        <v>8.9211019565034411E-2</v>
      </c>
      <c r="AC238" s="153"/>
      <c r="AD238" s="153">
        <f t="shared" si="373"/>
        <v>0.46018276762402083</v>
      </c>
      <c r="AE238" s="317">
        <f t="shared" si="374"/>
        <v>637.42789598108766</v>
      </c>
      <c r="AF238" s="463">
        <f t="shared" si="375"/>
        <v>1.2079797650130546E-2</v>
      </c>
      <c r="AH238" s="153">
        <f t="shared" si="376"/>
        <v>0.28795474146243727</v>
      </c>
      <c r="AI238" s="153">
        <f t="shared" si="377"/>
        <v>0.28795474146243727</v>
      </c>
      <c r="AJ238" s="153">
        <f t="shared" si="378"/>
        <v>1.3021886973795831</v>
      </c>
      <c r="AL238" s="317">
        <f t="shared" si="379"/>
        <v>22.000000000000004</v>
      </c>
      <c r="AM238" s="147">
        <f t="shared" si="380"/>
        <v>350</v>
      </c>
      <c r="AO238">
        <f t="shared" si="381"/>
        <v>22.000000000000004</v>
      </c>
      <c r="AP238">
        <f t="shared" si="382"/>
        <v>350</v>
      </c>
      <c r="AR238" s="5">
        <f t="shared" si="343"/>
        <v>2.8571428571428572</v>
      </c>
      <c r="AS238" s="5">
        <f t="shared" si="335"/>
        <v>0.52053357110517506</v>
      </c>
      <c r="AT238" s="5">
        <f t="shared" si="336"/>
        <v>2.3366092860376821</v>
      </c>
      <c r="AU238" s="153">
        <f t="shared" si="337"/>
        <v>0.18218674988681127</v>
      </c>
      <c r="CI238" s="59">
        <f t="shared" si="383"/>
        <v>-50</v>
      </c>
    </row>
    <row r="239" spans="5:87" x14ac:dyDescent="0.25">
      <c r="E239" s="150">
        <v>23</v>
      </c>
      <c r="F239" s="191">
        <f t="shared" si="384"/>
        <v>2.3000000000000003E-2</v>
      </c>
      <c r="G239" s="191">
        <f t="shared" si="353"/>
        <v>2.3000000000000003E-2</v>
      </c>
      <c r="H239" s="191">
        <f t="shared" si="354"/>
        <v>0.34500000000000003</v>
      </c>
      <c r="I239" s="191">
        <f t="shared" si="355"/>
        <v>0.36800000000000005</v>
      </c>
      <c r="J239" s="472">
        <f t="shared" si="356"/>
        <v>26</v>
      </c>
      <c r="K239" s="386">
        <f t="shared" si="357"/>
        <v>15.32</v>
      </c>
      <c r="L239" s="386">
        <f t="shared" si="358"/>
        <v>41.32</v>
      </c>
      <c r="M239" s="386"/>
      <c r="N239" s="191">
        <f t="shared" si="359"/>
        <v>0.37076476282671827</v>
      </c>
      <c r="O239" s="152">
        <f t="shared" si="360"/>
        <v>1.574255222808606</v>
      </c>
      <c r="P239" s="152">
        <f t="shared" si="361"/>
        <v>3.4703581800580832</v>
      </c>
      <c r="Q239" s="191">
        <f t="shared" si="362"/>
        <v>0.1049503481872404</v>
      </c>
      <c r="R239" s="191">
        <f t="shared" si="363"/>
        <v>9.8390951425537873E-2</v>
      </c>
      <c r="S239" s="191">
        <f t="shared" si="364"/>
        <v>15</v>
      </c>
      <c r="T239" s="191">
        <f t="shared" si="365"/>
        <v>0.16436343754881613</v>
      </c>
      <c r="U239" s="191">
        <f t="shared" si="366"/>
        <v>0.29711852172285991</v>
      </c>
      <c r="V239" s="191">
        <f t="shared" si="367"/>
        <v>0.50424814391608075</v>
      </c>
      <c r="W239" s="175">
        <f t="shared" si="368"/>
        <v>350</v>
      </c>
      <c r="X239" s="386">
        <f t="shared" si="369"/>
        <v>350</v>
      </c>
      <c r="Z239" s="191">
        <f t="shared" si="370"/>
        <v>0.58601117528843016</v>
      </c>
      <c r="AA239" s="153">
        <f t="shared" si="371"/>
        <v>1.7978149633522333</v>
      </c>
      <c r="AB239" s="153">
        <f t="shared" si="372"/>
        <v>8.9211019565034411E-2</v>
      </c>
      <c r="AC239" s="153"/>
      <c r="AD239" s="153">
        <f t="shared" si="373"/>
        <v>0.46018276762402083</v>
      </c>
      <c r="AE239" s="317">
        <f t="shared" si="374"/>
        <v>666.40189125295535</v>
      </c>
      <c r="AF239" s="463">
        <f t="shared" si="375"/>
        <v>1.2079797650130546E-2</v>
      </c>
      <c r="AH239" s="153">
        <f t="shared" si="376"/>
        <v>0.29442644258147982</v>
      </c>
      <c r="AI239" s="153">
        <f t="shared" si="377"/>
        <v>0.29442644258147982</v>
      </c>
      <c r="AJ239" s="153">
        <f t="shared" si="378"/>
        <v>1.3069825500603554</v>
      </c>
      <c r="AL239" s="317">
        <f t="shared" si="379"/>
        <v>23.000000000000004</v>
      </c>
      <c r="AM239" s="147">
        <f t="shared" si="380"/>
        <v>350</v>
      </c>
      <c r="AO239">
        <f t="shared" si="381"/>
        <v>23.000000000000004</v>
      </c>
      <c r="AP239">
        <f t="shared" si="382"/>
        <v>350</v>
      </c>
      <c r="AR239" s="5">
        <f t="shared" si="343"/>
        <v>2.8571428571428572</v>
      </c>
      <c r="AS239" s="5">
        <f t="shared" si="335"/>
        <v>0.53223241543575184</v>
      </c>
      <c r="AT239" s="5">
        <f t="shared" si="336"/>
        <v>2.3249104417071056</v>
      </c>
      <c r="AU239" s="153">
        <f t="shared" si="337"/>
        <v>0.18628134540251315</v>
      </c>
      <c r="CI239" s="59">
        <f t="shared" si="383"/>
        <v>-50</v>
      </c>
    </row>
    <row r="240" spans="5:87" x14ac:dyDescent="0.25">
      <c r="E240" s="150">
        <v>24</v>
      </c>
      <c r="F240" s="191">
        <f t="shared" si="384"/>
        <v>2.4E-2</v>
      </c>
      <c r="G240" s="191">
        <f t="shared" si="353"/>
        <v>2.4E-2</v>
      </c>
      <c r="H240" s="191">
        <f t="shared" si="354"/>
        <v>0.36</v>
      </c>
      <c r="I240" s="191">
        <f t="shared" si="355"/>
        <v>0.38400000000000001</v>
      </c>
      <c r="J240" s="472">
        <f t="shared" si="356"/>
        <v>26</v>
      </c>
      <c r="K240" s="386">
        <f t="shared" si="357"/>
        <v>15.32</v>
      </c>
      <c r="L240" s="386">
        <f t="shared" si="358"/>
        <v>41.32</v>
      </c>
      <c r="M240" s="386"/>
      <c r="N240" s="191">
        <f t="shared" si="359"/>
        <v>0.37076476282671827</v>
      </c>
      <c r="O240" s="152">
        <f t="shared" si="360"/>
        <v>1.574255222808606</v>
      </c>
      <c r="P240" s="152">
        <f t="shared" si="361"/>
        <v>3.4703581800580832</v>
      </c>
      <c r="Q240" s="191">
        <f t="shared" si="362"/>
        <v>0.1049503481872404</v>
      </c>
      <c r="R240" s="191">
        <f t="shared" si="363"/>
        <v>9.8390951425537873E-2</v>
      </c>
      <c r="S240" s="191">
        <f t="shared" si="364"/>
        <v>15</v>
      </c>
      <c r="T240" s="191">
        <f t="shared" si="365"/>
        <v>0.17150967396398203</v>
      </c>
      <c r="U240" s="191">
        <f t="shared" si="366"/>
        <v>0.31003671831950597</v>
      </c>
      <c r="V240" s="191">
        <f t="shared" si="367"/>
        <v>0.52617197626025825</v>
      </c>
      <c r="W240" s="175">
        <f t="shared" si="368"/>
        <v>350</v>
      </c>
      <c r="X240" s="386">
        <f t="shared" si="369"/>
        <v>350</v>
      </c>
      <c r="Z240" s="191">
        <f t="shared" si="370"/>
        <v>0.58601117528843016</v>
      </c>
      <c r="AA240" s="153">
        <f t="shared" si="371"/>
        <v>1.7978149633522333</v>
      </c>
      <c r="AB240" s="153">
        <f t="shared" si="372"/>
        <v>8.9211019565034411E-2</v>
      </c>
      <c r="AC240" s="153"/>
      <c r="AD240" s="153">
        <f t="shared" si="373"/>
        <v>0.46018276762402083</v>
      </c>
      <c r="AE240" s="317">
        <f t="shared" si="374"/>
        <v>695.37588652482293</v>
      </c>
      <c r="AF240" s="463">
        <f t="shared" si="375"/>
        <v>1.2079797650130546E-2</v>
      </c>
      <c r="AH240" s="153">
        <f t="shared" si="376"/>
        <v>0.30075891849066044</v>
      </c>
      <c r="AI240" s="153">
        <f t="shared" si="377"/>
        <v>0.30075891849066044</v>
      </c>
      <c r="AJ240" s="153">
        <f t="shared" si="378"/>
        <v>1.3116732729560447</v>
      </c>
      <c r="AL240" s="317">
        <f t="shared" si="379"/>
        <v>24</v>
      </c>
      <c r="AM240" s="147">
        <f t="shared" si="380"/>
        <v>350</v>
      </c>
      <c r="AO240">
        <f t="shared" si="381"/>
        <v>24</v>
      </c>
      <c r="AP240">
        <f t="shared" si="382"/>
        <v>350</v>
      </c>
      <c r="AR240" s="5">
        <f t="shared" si="343"/>
        <v>2.8571428571428572</v>
      </c>
      <c r="AS240" s="5">
        <f t="shared" si="335"/>
        <v>0.54367958342542466</v>
      </c>
      <c r="AT240" s="5">
        <f t="shared" si="336"/>
        <v>2.3134632737174323</v>
      </c>
      <c r="AU240" s="153">
        <f t="shared" si="337"/>
        <v>0.19028785419889863</v>
      </c>
      <c r="CI240" s="59">
        <f t="shared" si="383"/>
        <v>-50</v>
      </c>
    </row>
    <row r="241" spans="5:87" x14ac:dyDescent="0.25">
      <c r="E241" s="150">
        <v>25</v>
      </c>
      <c r="F241" s="191">
        <f t="shared" si="384"/>
        <v>2.5000000000000001E-2</v>
      </c>
      <c r="G241" s="191">
        <f t="shared" si="353"/>
        <v>2.5000000000000001E-2</v>
      </c>
      <c r="H241" s="191">
        <f t="shared" si="354"/>
        <v>0.375</v>
      </c>
      <c r="I241" s="191">
        <f t="shared" si="355"/>
        <v>0.4</v>
      </c>
      <c r="J241" s="472">
        <f t="shared" si="356"/>
        <v>26</v>
      </c>
      <c r="K241" s="386">
        <f t="shared" si="357"/>
        <v>15.32</v>
      </c>
      <c r="L241" s="386">
        <f t="shared" si="358"/>
        <v>41.32</v>
      </c>
      <c r="M241" s="386"/>
      <c r="N241" s="191">
        <f t="shared" si="359"/>
        <v>0.37076476282671827</v>
      </c>
      <c r="O241" s="152">
        <f t="shared" si="360"/>
        <v>1.574255222808606</v>
      </c>
      <c r="P241" s="152">
        <f t="shared" si="361"/>
        <v>3.4703581800580832</v>
      </c>
      <c r="Q241" s="191">
        <f t="shared" si="362"/>
        <v>0.1049503481872404</v>
      </c>
      <c r="R241" s="191">
        <f t="shared" si="363"/>
        <v>9.8390951425537873E-2</v>
      </c>
      <c r="S241" s="191">
        <f t="shared" si="364"/>
        <v>15</v>
      </c>
      <c r="T241" s="191">
        <f t="shared" si="365"/>
        <v>0.17865591037914796</v>
      </c>
      <c r="U241" s="191">
        <f t="shared" si="366"/>
        <v>0.32295491491615208</v>
      </c>
      <c r="V241" s="191">
        <f t="shared" si="367"/>
        <v>0.54809580860443552</v>
      </c>
      <c r="W241" s="175">
        <f t="shared" si="368"/>
        <v>350</v>
      </c>
      <c r="X241" s="386">
        <f t="shared" si="369"/>
        <v>350</v>
      </c>
      <c r="Z241" s="191">
        <f t="shared" si="370"/>
        <v>0.58601117528843016</v>
      </c>
      <c r="AA241" s="153">
        <f t="shared" si="371"/>
        <v>1.7978149633522333</v>
      </c>
      <c r="AB241" s="153">
        <f t="shared" si="372"/>
        <v>8.9211019565034411E-2</v>
      </c>
      <c r="AC241" s="153"/>
      <c r="AD241" s="153">
        <f t="shared" si="373"/>
        <v>0.46018276762402083</v>
      </c>
      <c r="AE241" s="317">
        <f t="shared" si="374"/>
        <v>724.34988179669051</v>
      </c>
      <c r="AF241" s="463">
        <f t="shared" si="375"/>
        <v>1.2079797650130546E-2</v>
      </c>
      <c r="AH241" s="153">
        <f t="shared" si="376"/>
        <v>0.30696078578893116</v>
      </c>
      <c r="AI241" s="153">
        <f t="shared" si="377"/>
        <v>0.30696078578893116</v>
      </c>
      <c r="AJ241" s="153">
        <f t="shared" si="378"/>
        <v>1.3162672487325415</v>
      </c>
      <c r="AL241" s="317">
        <f t="shared" si="379"/>
        <v>25</v>
      </c>
      <c r="AM241" s="147">
        <f t="shared" si="380"/>
        <v>350</v>
      </c>
      <c r="AO241">
        <f t="shared" si="381"/>
        <v>25</v>
      </c>
      <c r="AP241">
        <f t="shared" si="382"/>
        <v>350</v>
      </c>
      <c r="AR241" s="5">
        <f t="shared" si="343"/>
        <v>2.8571428571428572</v>
      </c>
      <c r="AS241" s="5">
        <f t="shared" si="335"/>
        <v>0.55489065123383707</v>
      </c>
      <c r="AT241" s="5">
        <f t="shared" si="336"/>
        <v>2.3022522059090202</v>
      </c>
      <c r="AU241" s="153">
        <f t="shared" si="337"/>
        <v>0.19421172793184296</v>
      </c>
      <c r="CI241" s="59">
        <f t="shared" si="383"/>
        <v>-50</v>
      </c>
    </row>
    <row r="242" spans="5:87" x14ac:dyDescent="0.25">
      <c r="E242" s="150">
        <v>26</v>
      </c>
      <c r="F242" s="191">
        <f t="shared" si="384"/>
        <v>2.6000000000000002E-2</v>
      </c>
      <c r="G242" s="191">
        <f t="shared" si="353"/>
        <v>2.6000000000000002E-2</v>
      </c>
      <c r="H242" s="191">
        <f t="shared" si="354"/>
        <v>0.39</v>
      </c>
      <c r="I242" s="191">
        <f t="shared" si="355"/>
        <v>0.41600000000000004</v>
      </c>
      <c r="J242" s="472">
        <f t="shared" si="356"/>
        <v>26</v>
      </c>
      <c r="K242" s="386">
        <f t="shared" si="357"/>
        <v>15.32</v>
      </c>
      <c r="L242" s="386">
        <f t="shared" si="358"/>
        <v>41.32</v>
      </c>
      <c r="M242" s="386"/>
      <c r="N242" s="191">
        <f t="shared" si="359"/>
        <v>0.37076476282671827</v>
      </c>
      <c r="O242" s="152">
        <f t="shared" si="360"/>
        <v>1.574255222808606</v>
      </c>
      <c r="P242" s="152">
        <f t="shared" si="361"/>
        <v>3.4703581800580832</v>
      </c>
      <c r="Q242" s="191">
        <f t="shared" si="362"/>
        <v>0.1049503481872404</v>
      </c>
      <c r="R242" s="191">
        <f t="shared" si="363"/>
        <v>9.8390951425537873E-2</v>
      </c>
      <c r="S242" s="191">
        <f t="shared" si="364"/>
        <v>15</v>
      </c>
      <c r="T242" s="191">
        <f t="shared" si="365"/>
        <v>0.18580214679431389</v>
      </c>
      <c r="U242" s="191">
        <f t="shared" si="366"/>
        <v>0.33587311151279819</v>
      </c>
      <c r="V242" s="191">
        <f t="shared" si="367"/>
        <v>0.57001964094861313</v>
      </c>
      <c r="W242" s="175">
        <f t="shared" si="368"/>
        <v>350</v>
      </c>
      <c r="X242" s="386">
        <f t="shared" si="369"/>
        <v>350</v>
      </c>
      <c r="Z242" s="191">
        <f t="shared" si="370"/>
        <v>0.58601117528843016</v>
      </c>
      <c r="AA242" s="153">
        <f t="shared" si="371"/>
        <v>1.7978149633522333</v>
      </c>
      <c r="AB242" s="153">
        <f t="shared" si="372"/>
        <v>8.9211019565034411E-2</v>
      </c>
      <c r="AC242" s="153"/>
      <c r="AD242" s="153">
        <f t="shared" si="373"/>
        <v>0.46018276762402083</v>
      </c>
      <c r="AE242" s="317">
        <f t="shared" si="374"/>
        <v>753.32387706855809</v>
      </c>
      <c r="AF242" s="463">
        <f t="shared" si="375"/>
        <v>1.2079797650130546E-2</v>
      </c>
      <c r="AH242" s="153">
        <f t="shared" si="376"/>
        <v>0.31303980732910691</v>
      </c>
      <c r="AI242" s="153">
        <f t="shared" si="377"/>
        <v>0.31303980732910691</v>
      </c>
      <c r="AJ242" s="153">
        <f t="shared" si="378"/>
        <v>1.3207702276511903</v>
      </c>
      <c r="AL242" s="317">
        <f t="shared" si="379"/>
        <v>26.000000000000004</v>
      </c>
      <c r="AM242" s="147">
        <f t="shared" si="380"/>
        <v>350</v>
      </c>
      <c r="AO242">
        <f t="shared" si="381"/>
        <v>26.000000000000004</v>
      </c>
      <c r="AP242">
        <f t="shared" si="382"/>
        <v>350</v>
      </c>
      <c r="AR242" s="5">
        <f t="shared" si="343"/>
        <v>2.8571428571428572</v>
      </c>
      <c r="AS242" s="5">
        <f t="shared" si="335"/>
        <v>0.56587965171030863</v>
      </c>
      <c r="AT242" s="5">
        <f t="shared" si="336"/>
        <v>2.2912632054325486</v>
      </c>
      <c r="AU242" s="153">
        <f t="shared" si="337"/>
        <v>0.198057878098608</v>
      </c>
      <c r="CI242" s="59">
        <f t="shared" si="383"/>
        <v>-50</v>
      </c>
    </row>
    <row r="243" spans="5:87" x14ac:dyDescent="0.25">
      <c r="E243" s="150">
        <v>27</v>
      </c>
      <c r="F243" s="191">
        <f t="shared" si="384"/>
        <v>2.7000000000000003E-2</v>
      </c>
      <c r="G243" s="191">
        <f t="shared" si="353"/>
        <v>2.7000000000000003E-2</v>
      </c>
      <c r="H243" s="191">
        <f t="shared" si="354"/>
        <v>0.40500000000000003</v>
      </c>
      <c r="I243" s="191">
        <f t="shared" si="355"/>
        <v>0.43200000000000005</v>
      </c>
      <c r="J243" s="472">
        <f t="shared" si="356"/>
        <v>26</v>
      </c>
      <c r="K243" s="386">
        <f t="shared" si="357"/>
        <v>15.32</v>
      </c>
      <c r="L243" s="386">
        <f t="shared" si="358"/>
        <v>41.32</v>
      </c>
      <c r="M243" s="386"/>
      <c r="N243" s="191">
        <f t="shared" si="359"/>
        <v>0.37076476282671827</v>
      </c>
      <c r="O243" s="152">
        <f t="shared" si="360"/>
        <v>1.574255222808606</v>
      </c>
      <c r="P243" s="152">
        <f t="shared" si="361"/>
        <v>3.4703581800580832</v>
      </c>
      <c r="Q243" s="191">
        <f t="shared" si="362"/>
        <v>0.1049503481872404</v>
      </c>
      <c r="R243" s="191">
        <f t="shared" si="363"/>
        <v>9.8390951425537873E-2</v>
      </c>
      <c r="S243" s="191">
        <f t="shared" si="364"/>
        <v>15</v>
      </c>
      <c r="T243" s="191">
        <f t="shared" si="365"/>
        <v>0.19294838320947982</v>
      </c>
      <c r="U243" s="191">
        <f t="shared" si="366"/>
        <v>0.34879130810944425</v>
      </c>
      <c r="V243" s="191">
        <f t="shared" si="367"/>
        <v>0.59194347329279051</v>
      </c>
      <c r="W243" s="175">
        <f t="shared" si="368"/>
        <v>350</v>
      </c>
      <c r="X243" s="386">
        <f t="shared" si="369"/>
        <v>350</v>
      </c>
      <c r="Z243" s="191">
        <f t="shared" si="370"/>
        <v>0.58601117528843016</v>
      </c>
      <c r="AA243" s="153">
        <f t="shared" si="371"/>
        <v>1.7978149633522333</v>
      </c>
      <c r="AB243" s="153">
        <f t="shared" si="372"/>
        <v>8.9211019565034411E-2</v>
      </c>
      <c r="AC243" s="153"/>
      <c r="AD243" s="153">
        <f t="shared" si="373"/>
        <v>0.46018276762402083</v>
      </c>
      <c r="AE243" s="317">
        <f t="shared" si="374"/>
        <v>782.2978723404259</v>
      </c>
      <c r="AF243" s="463">
        <f t="shared" si="375"/>
        <v>1.2079797650130546E-2</v>
      </c>
      <c r="AH243" s="153">
        <f t="shared" si="376"/>
        <v>0.31900300615061716</v>
      </c>
      <c r="AI243" s="153">
        <f t="shared" si="377"/>
        <v>0.31900300615061716</v>
      </c>
      <c r="AJ243" s="153">
        <f t="shared" si="378"/>
        <v>1.3251874119634202</v>
      </c>
      <c r="AL243" s="317">
        <f t="shared" si="379"/>
        <v>27.000000000000004</v>
      </c>
      <c r="AM243" s="147">
        <f t="shared" si="380"/>
        <v>350</v>
      </c>
      <c r="AO243">
        <f t="shared" si="381"/>
        <v>27.000000000000004</v>
      </c>
      <c r="AP243">
        <f t="shared" si="382"/>
        <v>350</v>
      </c>
      <c r="AR243" s="5">
        <f t="shared" si="343"/>
        <v>2.8571428571428572</v>
      </c>
      <c r="AS243" s="5">
        <f t="shared" ref="AS243:AS306" si="385">L*AI243/J243*1000000</f>
        <v>0.57665928034919256</v>
      </c>
      <c r="AT243" s="5">
        <f t="shared" ref="AT243:AT306" si="386">AR243-AS243</f>
        <v>2.2804835767936646</v>
      </c>
      <c r="AU243" s="153">
        <f t="shared" ref="AU243:AU306" si="387">AS243/AR243</f>
        <v>0.20183074812221738</v>
      </c>
      <c r="CI243" s="59">
        <f t="shared" si="383"/>
        <v>-50</v>
      </c>
    </row>
    <row r="244" spans="5:87" x14ac:dyDescent="0.25">
      <c r="E244" s="150">
        <v>28</v>
      </c>
      <c r="F244" s="191">
        <f t="shared" si="384"/>
        <v>2.8000000000000004E-2</v>
      </c>
      <c r="G244" s="191">
        <f t="shared" si="353"/>
        <v>2.8000000000000004E-2</v>
      </c>
      <c r="H244" s="191">
        <f t="shared" si="354"/>
        <v>0.42000000000000004</v>
      </c>
      <c r="I244" s="191">
        <f t="shared" si="355"/>
        <v>0.44800000000000006</v>
      </c>
      <c r="J244" s="472">
        <f t="shared" si="356"/>
        <v>26</v>
      </c>
      <c r="K244" s="386">
        <f t="shared" si="357"/>
        <v>15.32</v>
      </c>
      <c r="L244" s="386">
        <f t="shared" si="358"/>
        <v>41.32</v>
      </c>
      <c r="M244" s="386"/>
      <c r="N244" s="191">
        <f t="shared" si="359"/>
        <v>0.37076476282671827</v>
      </c>
      <c r="O244" s="152">
        <f t="shared" si="360"/>
        <v>1.574255222808606</v>
      </c>
      <c r="P244" s="152">
        <f t="shared" si="361"/>
        <v>3.4703581800580832</v>
      </c>
      <c r="Q244" s="191">
        <f t="shared" si="362"/>
        <v>0.1049503481872404</v>
      </c>
      <c r="R244" s="191">
        <f t="shared" si="363"/>
        <v>9.8390951425537873E-2</v>
      </c>
      <c r="S244" s="191">
        <f t="shared" si="364"/>
        <v>15</v>
      </c>
      <c r="T244" s="191">
        <f t="shared" si="365"/>
        <v>0.20009461962464575</v>
      </c>
      <c r="U244" s="191">
        <f t="shared" si="366"/>
        <v>0.36170950470609042</v>
      </c>
      <c r="V244" s="191">
        <f t="shared" si="367"/>
        <v>0.61386730563696812</v>
      </c>
      <c r="W244" s="175">
        <f t="shared" si="368"/>
        <v>350</v>
      </c>
      <c r="X244" s="386">
        <f t="shared" si="369"/>
        <v>350</v>
      </c>
      <c r="Z244" s="191">
        <f t="shared" si="370"/>
        <v>0.58601117528843016</v>
      </c>
      <c r="AA244" s="153">
        <f t="shared" si="371"/>
        <v>1.7978149633522333</v>
      </c>
      <c r="AB244" s="153">
        <f t="shared" si="372"/>
        <v>8.9211019565034411E-2</v>
      </c>
      <c r="AC244" s="153"/>
      <c r="AD244" s="153">
        <f t="shared" si="373"/>
        <v>0.46018276762402083</v>
      </c>
      <c r="AE244" s="317">
        <f t="shared" si="374"/>
        <v>811.27186761229348</v>
      </c>
      <c r="AF244" s="463">
        <f t="shared" si="375"/>
        <v>1.2079797650130546E-2</v>
      </c>
      <c r="AH244" s="153">
        <f t="shared" si="376"/>
        <v>0.32485676057859258</v>
      </c>
      <c r="AI244" s="153">
        <f t="shared" si="377"/>
        <v>0.32485676057859258</v>
      </c>
      <c r="AJ244" s="153">
        <f t="shared" si="378"/>
        <v>1.3295235263545129</v>
      </c>
      <c r="AL244" s="317">
        <f t="shared" si="379"/>
        <v>28.000000000000004</v>
      </c>
      <c r="AM244" s="147">
        <f t="shared" si="380"/>
        <v>350</v>
      </c>
      <c r="AO244">
        <f t="shared" si="381"/>
        <v>28.000000000000004</v>
      </c>
      <c r="AP244">
        <f t="shared" si="382"/>
        <v>350</v>
      </c>
      <c r="AR244" s="5">
        <f t="shared" si="343"/>
        <v>2.8571428571428572</v>
      </c>
      <c r="AS244" s="5">
        <f t="shared" si="385"/>
        <v>0.58724106719976354</v>
      </c>
      <c r="AT244" s="5">
        <f t="shared" si="386"/>
        <v>2.2699017899430936</v>
      </c>
      <c r="AU244" s="153">
        <f t="shared" si="387"/>
        <v>0.20553437351991724</v>
      </c>
      <c r="CI244" s="59">
        <f t="shared" si="383"/>
        <v>-50</v>
      </c>
    </row>
    <row r="245" spans="5:87" x14ac:dyDescent="0.25">
      <c r="E245" s="150">
        <v>29</v>
      </c>
      <c r="F245" s="191">
        <f t="shared" si="384"/>
        <v>2.8999999999999998E-2</v>
      </c>
      <c r="G245" s="191">
        <f t="shared" si="353"/>
        <v>2.8999999999999998E-2</v>
      </c>
      <c r="H245" s="191">
        <f t="shared" si="354"/>
        <v>0.43499999999999994</v>
      </c>
      <c r="I245" s="191">
        <f t="shared" si="355"/>
        <v>0.46399999999999997</v>
      </c>
      <c r="J245" s="472">
        <f t="shared" si="356"/>
        <v>26</v>
      </c>
      <c r="K245" s="386">
        <f t="shared" si="357"/>
        <v>15.32</v>
      </c>
      <c r="L245" s="386">
        <f t="shared" si="358"/>
        <v>41.32</v>
      </c>
      <c r="M245" s="386"/>
      <c r="N245" s="191">
        <f t="shared" si="359"/>
        <v>0.37076476282671827</v>
      </c>
      <c r="O245" s="152">
        <f t="shared" si="360"/>
        <v>1.574255222808606</v>
      </c>
      <c r="P245" s="152">
        <f t="shared" si="361"/>
        <v>3.4703581800580832</v>
      </c>
      <c r="Q245" s="191">
        <f t="shared" si="362"/>
        <v>0.1049503481872404</v>
      </c>
      <c r="R245" s="191">
        <f t="shared" si="363"/>
        <v>9.8390951425537873E-2</v>
      </c>
      <c r="S245" s="191">
        <f t="shared" si="364"/>
        <v>15</v>
      </c>
      <c r="T245" s="191">
        <f t="shared" si="365"/>
        <v>0.20724085603981163</v>
      </c>
      <c r="U245" s="191">
        <f t="shared" si="366"/>
        <v>0.37462770130273632</v>
      </c>
      <c r="V245" s="191">
        <f t="shared" si="367"/>
        <v>0.63579113798114517</v>
      </c>
      <c r="W245" s="175">
        <f t="shared" si="368"/>
        <v>350</v>
      </c>
      <c r="X245" s="386">
        <f t="shared" si="369"/>
        <v>350</v>
      </c>
      <c r="Z245" s="191">
        <f t="shared" si="370"/>
        <v>0.58601117528843016</v>
      </c>
      <c r="AA245" s="153">
        <f t="shared" si="371"/>
        <v>1.7978149633522333</v>
      </c>
      <c r="AB245" s="153">
        <f t="shared" si="372"/>
        <v>8.9211019565034411E-2</v>
      </c>
      <c r="AC245" s="153"/>
      <c r="AD245" s="153">
        <f t="shared" si="373"/>
        <v>0.46018276762402083</v>
      </c>
      <c r="AE245" s="317">
        <f t="shared" si="374"/>
        <v>840.24586288416094</v>
      </c>
      <c r="AF245" s="463">
        <f t="shared" si="375"/>
        <v>1.2079797650130546E-2</v>
      </c>
      <c r="AH245" s="153">
        <f t="shared" si="376"/>
        <v>0.33060688416018102</v>
      </c>
      <c r="AI245" s="153">
        <f t="shared" si="377"/>
        <v>0.33060688416018102</v>
      </c>
      <c r="AJ245" s="153">
        <f t="shared" si="378"/>
        <v>1.3337828771556897</v>
      </c>
      <c r="AL245" s="317">
        <f t="shared" si="379"/>
        <v>28.999999999999996</v>
      </c>
      <c r="AM245" s="147">
        <f t="shared" si="380"/>
        <v>350</v>
      </c>
      <c r="AO245">
        <f t="shared" si="381"/>
        <v>28.999999999999996</v>
      </c>
      <c r="AP245">
        <f t="shared" si="382"/>
        <v>350</v>
      </c>
      <c r="AR245" s="5">
        <f t="shared" si="343"/>
        <v>2.8571428571428572</v>
      </c>
      <c r="AS245" s="5">
        <f t="shared" si="385"/>
        <v>0.59763552136648102</v>
      </c>
      <c r="AT245" s="5">
        <f t="shared" si="386"/>
        <v>2.2595073357763762</v>
      </c>
      <c r="AU245" s="153">
        <f t="shared" si="387"/>
        <v>0.20917243247826836</v>
      </c>
      <c r="CI245" s="59">
        <f t="shared" si="383"/>
        <v>-50</v>
      </c>
    </row>
    <row r="246" spans="5:87" x14ac:dyDescent="0.25">
      <c r="E246" s="150">
        <v>30</v>
      </c>
      <c r="F246" s="191">
        <f t="shared" si="384"/>
        <v>0.03</v>
      </c>
      <c r="G246" s="191">
        <f t="shared" si="353"/>
        <v>0.03</v>
      </c>
      <c r="H246" s="191">
        <f t="shared" si="354"/>
        <v>0.44999999999999996</v>
      </c>
      <c r="I246" s="191">
        <f t="shared" si="355"/>
        <v>0.48</v>
      </c>
      <c r="J246" s="472">
        <f t="shared" si="356"/>
        <v>26</v>
      </c>
      <c r="K246" s="386">
        <f t="shared" si="357"/>
        <v>15.32</v>
      </c>
      <c r="L246" s="386">
        <f t="shared" si="358"/>
        <v>41.32</v>
      </c>
      <c r="M246" s="386"/>
      <c r="N246" s="191">
        <f t="shared" si="359"/>
        <v>0.37076476282671827</v>
      </c>
      <c r="O246" s="152">
        <f t="shared" si="360"/>
        <v>1.574255222808606</v>
      </c>
      <c r="P246" s="152">
        <f t="shared" si="361"/>
        <v>3.4703581800580832</v>
      </c>
      <c r="Q246" s="191">
        <f t="shared" si="362"/>
        <v>0.1049503481872404</v>
      </c>
      <c r="R246" s="191">
        <f t="shared" si="363"/>
        <v>9.8390951425537873E-2</v>
      </c>
      <c r="S246" s="191">
        <f t="shared" si="364"/>
        <v>15</v>
      </c>
      <c r="T246" s="191">
        <f t="shared" si="365"/>
        <v>0.21438709245497753</v>
      </c>
      <c r="U246" s="191">
        <f t="shared" si="366"/>
        <v>0.38754589789938243</v>
      </c>
      <c r="V246" s="191">
        <f t="shared" si="367"/>
        <v>0.65771497032532267</v>
      </c>
      <c r="W246" s="175">
        <f t="shared" si="368"/>
        <v>350</v>
      </c>
      <c r="X246" s="386">
        <f t="shared" si="369"/>
        <v>350</v>
      </c>
      <c r="Z246" s="191">
        <f t="shared" si="370"/>
        <v>0.58601117528843016</v>
      </c>
      <c r="AA246" s="153">
        <f t="shared" si="371"/>
        <v>1.7978149633522333</v>
      </c>
      <c r="AB246" s="153">
        <f t="shared" si="372"/>
        <v>8.9211019565034411E-2</v>
      </c>
      <c r="AC246" s="153"/>
      <c r="AD246" s="153">
        <f t="shared" si="373"/>
        <v>0.46018276762402083</v>
      </c>
      <c r="AE246" s="317">
        <f t="shared" si="374"/>
        <v>869.21985815602841</v>
      </c>
      <c r="AF246" s="463">
        <f t="shared" si="375"/>
        <v>1.2079797650130546E-2</v>
      </c>
      <c r="AH246" s="153">
        <f t="shared" si="376"/>
        <v>0.33625869329221758</v>
      </c>
      <c r="AI246" s="153">
        <f t="shared" si="377"/>
        <v>0.33625869329221758</v>
      </c>
      <c r="AJ246" s="153">
        <f t="shared" si="378"/>
        <v>1.3379694024386797</v>
      </c>
      <c r="AL246" s="317">
        <f t="shared" si="379"/>
        <v>30</v>
      </c>
      <c r="AM246" s="147">
        <f t="shared" si="380"/>
        <v>350</v>
      </c>
      <c r="AO246">
        <f t="shared" si="381"/>
        <v>30</v>
      </c>
      <c r="AP246">
        <f t="shared" si="382"/>
        <v>350</v>
      </c>
      <c r="AR246" s="5">
        <f t="shared" si="343"/>
        <v>2.8571428571428572</v>
      </c>
      <c r="AS246" s="5">
        <f t="shared" si="385"/>
        <v>0.6078522532590086</v>
      </c>
      <c r="AT246" s="5">
        <f t="shared" si="386"/>
        <v>2.2492906038838485</v>
      </c>
      <c r="AU246" s="153">
        <f t="shared" si="387"/>
        <v>0.21274828864065301</v>
      </c>
      <c r="CI246" s="59">
        <f t="shared" si="383"/>
        <v>-50</v>
      </c>
    </row>
    <row r="247" spans="5:87" x14ac:dyDescent="0.25">
      <c r="E247" s="150">
        <v>31</v>
      </c>
      <c r="F247" s="191">
        <f t="shared" si="384"/>
        <v>3.1E-2</v>
      </c>
      <c r="G247" s="191">
        <f t="shared" si="353"/>
        <v>3.1E-2</v>
      </c>
      <c r="H247" s="191">
        <f t="shared" si="354"/>
        <v>0.46499999999999997</v>
      </c>
      <c r="I247" s="191">
        <f t="shared" si="355"/>
        <v>0.496</v>
      </c>
      <c r="J247" s="472">
        <f t="shared" si="356"/>
        <v>26</v>
      </c>
      <c r="K247" s="386">
        <f t="shared" si="357"/>
        <v>15.32</v>
      </c>
      <c r="L247" s="386">
        <f t="shared" si="358"/>
        <v>41.32</v>
      </c>
      <c r="M247" s="386"/>
      <c r="N247" s="191">
        <f t="shared" si="359"/>
        <v>0.37076476282671827</v>
      </c>
      <c r="O247" s="152">
        <f t="shared" si="360"/>
        <v>1.574255222808606</v>
      </c>
      <c r="P247" s="152">
        <f t="shared" si="361"/>
        <v>3.4703581800580832</v>
      </c>
      <c r="Q247" s="191">
        <f t="shared" si="362"/>
        <v>0.1049503481872404</v>
      </c>
      <c r="R247" s="191">
        <f t="shared" si="363"/>
        <v>9.8390951425537873E-2</v>
      </c>
      <c r="S247" s="191">
        <f t="shared" si="364"/>
        <v>15</v>
      </c>
      <c r="T247" s="191">
        <f t="shared" si="365"/>
        <v>0.22153332887014346</v>
      </c>
      <c r="U247" s="191">
        <f t="shared" si="366"/>
        <v>0.40046409449602854</v>
      </c>
      <c r="V247" s="191">
        <f t="shared" si="367"/>
        <v>0.67963880266950005</v>
      </c>
      <c r="W247" s="175">
        <f t="shared" si="368"/>
        <v>350</v>
      </c>
      <c r="X247" s="386">
        <f t="shared" si="369"/>
        <v>350</v>
      </c>
      <c r="Z247" s="191">
        <f t="shared" si="370"/>
        <v>0.58601117528843016</v>
      </c>
      <c r="AA247" s="153">
        <f t="shared" si="371"/>
        <v>1.7978149633522333</v>
      </c>
      <c r="AB247" s="153">
        <f t="shared" si="372"/>
        <v>8.9211019565034411E-2</v>
      </c>
      <c r="AC247" s="153"/>
      <c r="AD247" s="153">
        <f t="shared" si="373"/>
        <v>0.46018276762402083</v>
      </c>
      <c r="AE247" s="317">
        <f t="shared" si="374"/>
        <v>898.19385342789622</v>
      </c>
      <c r="AF247" s="463">
        <f t="shared" si="375"/>
        <v>1.2079797650130546E-2</v>
      </c>
      <c r="AH247" s="153">
        <f t="shared" si="376"/>
        <v>0.34181706478038215</v>
      </c>
      <c r="AI247" s="153">
        <f t="shared" si="377"/>
        <v>0.34181706478038215</v>
      </c>
      <c r="AJ247" s="153">
        <f t="shared" si="378"/>
        <v>1.3420867146521349</v>
      </c>
      <c r="AL247" s="317">
        <f t="shared" si="379"/>
        <v>31</v>
      </c>
      <c r="AM247" s="147">
        <f t="shared" si="380"/>
        <v>350</v>
      </c>
      <c r="AO247">
        <f t="shared" si="381"/>
        <v>31</v>
      </c>
      <c r="AP247">
        <f t="shared" si="382"/>
        <v>350</v>
      </c>
      <c r="AR247" s="5">
        <f t="shared" si="343"/>
        <v>2.8571428571428572</v>
      </c>
      <c r="AS247" s="5">
        <f t="shared" si="385"/>
        <v>0.61790007864146013</v>
      </c>
      <c r="AT247" s="5">
        <f t="shared" si="386"/>
        <v>2.2392427785013971</v>
      </c>
      <c r="AU247" s="153">
        <f t="shared" si="387"/>
        <v>0.21626502752451104</v>
      </c>
      <c r="CI247" s="59">
        <f t="shared" si="383"/>
        <v>-50</v>
      </c>
    </row>
    <row r="248" spans="5:87" x14ac:dyDescent="0.25">
      <c r="E248" s="150">
        <v>32</v>
      </c>
      <c r="F248" s="191">
        <f t="shared" si="384"/>
        <v>3.2000000000000001E-2</v>
      </c>
      <c r="G248" s="191">
        <f t="shared" ref="G248:G279" si="388">IF(PLOT_TYPE=1, E248/100*Iout2, min_I*EXP(Q248*rr/100))</f>
        <v>3.2000000000000001E-2</v>
      </c>
      <c r="H248" s="191">
        <f t="shared" ref="H248:H279" si="389">F248*Vout</f>
        <v>0.48</v>
      </c>
      <c r="I248" s="191">
        <f t="shared" ref="I248:I279" si="390">Vout2*G248</f>
        <v>0.51200000000000001</v>
      </c>
      <c r="J248" s="472">
        <f t="shared" si="356"/>
        <v>26</v>
      </c>
      <c r="K248" s="386">
        <f t="shared" si="357"/>
        <v>15.32</v>
      </c>
      <c r="L248" s="386">
        <f t="shared" si="358"/>
        <v>41.32</v>
      </c>
      <c r="M248" s="386"/>
      <c r="N248" s="191">
        <f t="shared" si="359"/>
        <v>0.37076476282671827</v>
      </c>
      <c r="O248" s="152">
        <f t="shared" ref="O248:O279" si="391">N248*J248*Isw_max*0.5*Efficiency*Pout/(Pout+Pout2)</f>
        <v>1.574255222808606</v>
      </c>
      <c r="P248" s="152">
        <f t="shared" ref="P248:P279" si="392">N248*J248*Isw_max*0.5*Efficiency*(Pout2/Pout_total)</f>
        <v>3.4703581800580832</v>
      </c>
      <c r="Q248" s="191">
        <f t="shared" si="362"/>
        <v>0.1049503481872404</v>
      </c>
      <c r="R248" s="191">
        <f t="shared" ref="R248:R279" si="393">O248/Vout2</f>
        <v>9.8390951425537873E-2</v>
      </c>
      <c r="S248" s="191">
        <f t="shared" ref="S248:S279" si="394">MIN(Vout,O248/F248)</f>
        <v>15</v>
      </c>
      <c r="T248" s="191">
        <f t="shared" ref="T248:T279" si="395">MIN(2*(Vout*F248+Vout2*G248)/(Efficiency*J248*N248), Isw_max)</f>
        <v>0.22867956528530939</v>
      </c>
      <c r="U248" s="191">
        <f t="shared" si="366"/>
        <v>0.4133822910926746</v>
      </c>
      <c r="V248" s="191">
        <f t="shared" si="367"/>
        <v>0.70156263501367755</v>
      </c>
      <c r="W248" s="175">
        <f t="shared" si="368"/>
        <v>350</v>
      </c>
      <c r="X248" s="386">
        <f t="shared" si="369"/>
        <v>350</v>
      </c>
      <c r="Z248" s="191">
        <f t="shared" si="370"/>
        <v>0.58601117528843016</v>
      </c>
      <c r="AA248" s="153">
        <f t="shared" si="371"/>
        <v>1.7978149633522333</v>
      </c>
      <c r="AB248" s="153">
        <f t="shared" ref="AB248:AB279" si="396">0.5*AA248*Z248*Nps*W248/1000*(Pout/(Pout+Pout2))</f>
        <v>8.9211019565034411E-2</v>
      </c>
      <c r="AC248" s="153"/>
      <c r="AD248" s="153">
        <f t="shared" si="373"/>
        <v>0.46018276762402083</v>
      </c>
      <c r="AE248" s="317">
        <f t="shared" ref="AE248:AE279" si="397">MAX(10, F248/(0.5*AD248/1000000*Isw_min*Nps)/1000*Pout_total/Pout)</f>
        <v>927.16784869976391</v>
      </c>
      <c r="AF248" s="463">
        <f t="shared" ref="AF248:AF279" si="398">0.5*AD248/1000000*Isw_min*Nps*W248*1000*(Pout/Pout_total)</f>
        <v>1.2079797650130546E-2</v>
      </c>
      <c r="AH248" s="153">
        <f t="shared" ref="AH248:AH279" si="399">SQRT((H248+I248)/(0.5*L*Fsw_DCM))</f>
        <v>0.34728648510352705</v>
      </c>
      <c r="AI248" s="153">
        <f t="shared" ref="AI248:AI279" si="400">MAX(IF(F248&gt;AB248,T248,AH248),Isw_min)</f>
        <v>0.34728648510352705</v>
      </c>
      <c r="AJ248" s="153">
        <f t="shared" ref="AJ248:AJ279" si="401">IF(F248&gt;AF248, (AI248-Isw_min)/1.08*0.8+1.2, AE248*0.2/350+1)</f>
        <v>1.3461381371137238</v>
      </c>
      <c r="AL248" s="317">
        <f t="shared" ref="AL248:AL279" si="402">F248*1000</f>
        <v>32</v>
      </c>
      <c r="AM248" s="147">
        <f t="shared" ref="AM248:AM279" si="403">IF(F248&gt;AF248, X248, AE248)</f>
        <v>350</v>
      </c>
      <c r="AO248">
        <f t="shared" si="381"/>
        <v>32</v>
      </c>
      <c r="AP248">
        <f t="shared" si="382"/>
        <v>350</v>
      </c>
      <c r="AR248" s="5">
        <f t="shared" si="343"/>
        <v>2.8571428571428572</v>
      </c>
      <c r="AS248" s="5">
        <f t="shared" si="385"/>
        <v>0.62778710768714507</v>
      </c>
      <c r="AT248" s="5">
        <f t="shared" si="386"/>
        <v>2.2293557494557121</v>
      </c>
      <c r="AU248" s="153">
        <f t="shared" si="387"/>
        <v>0.21972548769050076</v>
      </c>
      <c r="CI248" s="59">
        <f t="shared" ref="CI248:CI279" si="404">IF(ABS(F248-Ioutmax_Vinmax)&lt;Iout/200, AM248, -50)</f>
        <v>-50</v>
      </c>
    </row>
    <row r="249" spans="5:87" x14ac:dyDescent="0.25">
      <c r="E249" s="150">
        <v>33</v>
      </c>
      <c r="F249" s="191">
        <f t="shared" ref="F249:F280" si="405">IF(PLOT_TYPE=1, E249/100*Iout_max, min_I*EXP(O249*rr/100))</f>
        <v>3.3000000000000002E-2</v>
      </c>
      <c r="G249" s="191">
        <f t="shared" si="388"/>
        <v>3.3000000000000002E-2</v>
      </c>
      <c r="H249" s="191">
        <f t="shared" si="389"/>
        <v>0.495</v>
      </c>
      <c r="I249" s="191">
        <f t="shared" si="390"/>
        <v>0.52800000000000002</v>
      </c>
      <c r="J249" s="472">
        <f t="shared" si="356"/>
        <v>26</v>
      </c>
      <c r="K249" s="386">
        <f t="shared" si="357"/>
        <v>15.32</v>
      </c>
      <c r="L249" s="386">
        <f t="shared" si="358"/>
        <v>41.32</v>
      </c>
      <c r="M249" s="386"/>
      <c r="N249" s="191">
        <f t="shared" si="359"/>
        <v>0.37076476282671827</v>
      </c>
      <c r="O249" s="152">
        <f t="shared" si="391"/>
        <v>1.574255222808606</v>
      </c>
      <c r="P249" s="152">
        <f t="shared" si="392"/>
        <v>3.4703581800580832</v>
      </c>
      <c r="Q249" s="191">
        <f t="shared" si="362"/>
        <v>0.1049503481872404</v>
      </c>
      <c r="R249" s="191">
        <f t="shared" si="393"/>
        <v>9.8390951425537873E-2</v>
      </c>
      <c r="S249" s="191">
        <f t="shared" si="394"/>
        <v>15</v>
      </c>
      <c r="T249" s="191">
        <f t="shared" si="395"/>
        <v>0.23582580170047535</v>
      </c>
      <c r="U249" s="191">
        <f t="shared" si="366"/>
        <v>0.42630048768932077</v>
      </c>
      <c r="V249" s="191">
        <f t="shared" si="367"/>
        <v>0.72348646735785505</v>
      </c>
      <c r="W249" s="175">
        <f t="shared" si="368"/>
        <v>350</v>
      </c>
      <c r="X249" s="386">
        <f t="shared" si="369"/>
        <v>350</v>
      </c>
      <c r="Z249" s="191">
        <f t="shared" si="370"/>
        <v>0.58601117528843016</v>
      </c>
      <c r="AA249" s="153">
        <f t="shared" si="371"/>
        <v>1.7978149633522333</v>
      </c>
      <c r="AB249" s="153">
        <f t="shared" si="396"/>
        <v>8.9211019565034411E-2</v>
      </c>
      <c r="AC249" s="153"/>
      <c r="AD249" s="153">
        <f t="shared" si="373"/>
        <v>0.46018276762402083</v>
      </c>
      <c r="AE249" s="317">
        <f t="shared" si="397"/>
        <v>956.14184397163137</v>
      </c>
      <c r="AF249" s="463">
        <f t="shared" si="398"/>
        <v>1.2079797650130546E-2</v>
      </c>
      <c r="AH249" s="153">
        <f t="shared" si="399"/>
        <v>0.35267109279901104</v>
      </c>
      <c r="AI249" s="153">
        <f t="shared" si="400"/>
        <v>0.35267109279901104</v>
      </c>
      <c r="AJ249" s="153">
        <f t="shared" si="401"/>
        <v>1.3501267354066748</v>
      </c>
      <c r="AL249" s="317">
        <f t="shared" si="402"/>
        <v>33</v>
      </c>
      <c r="AM249" s="147">
        <f t="shared" si="403"/>
        <v>350</v>
      </c>
      <c r="AO249">
        <f t="shared" si="381"/>
        <v>33</v>
      </c>
      <c r="AP249">
        <f t="shared" si="382"/>
        <v>350</v>
      </c>
      <c r="AR249" s="5">
        <f t="shared" si="343"/>
        <v>2.8571428571428572</v>
      </c>
      <c r="AS249" s="5">
        <f t="shared" si="385"/>
        <v>0.63752082159821233</v>
      </c>
      <c r="AT249" s="5">
        <f t="shared" si="386"/>
        <v>2.2196220355446448</v>
      </c>
      <c r="AU249" s="153">
        <f t="shared" si="387"/>
        <v>0.22313228755937431</v>
      </c>
      <c r="CI249" s="59">
        <f t="shared" si="404"/>
        <v>-50</v>
      </c>
    </row>
    <row r="250" spans="5:87" x14ac:dyDescent="0.25">
      <c r="E250" s="150">
        <v>34</v>
      </c>
      <c r="F250" s="191">
        <f t="shared" si="405"/>
        <v>3.4000000000000002E-2</v>
      </c>
      <c r="G250" s="191">
        <f t="shared" si="388"/>
        <v>3.4000000000000002E-2</v>
      </c>
      <c r="H250" s="191">
        <f t="shared" si="389"/>
        <v>0.51</v>
      </c>
      <c r="I250" s="191">
        <f t="shared" si="390"/>
        <v>0.54400000000000004</v>
      </c>
      <c r="J250" s="472">
        <f t="shared" si="356"/>
        <v>26</v>
      </c>
      <c r="K250" s="386">
        <f t="shared" si="357"/>
        <v>15.32</v>
      </c>
      <c r="L250" s="386">
        <f t="shared" si="358"/>
        <v>41.32</v>
      </c>
      <c r="M250" s="386"/>
      <c r="N250" s="191">
        <f t="shared" si="359"/>
        <v>0.37076476282671827</v>
      </c>
      <c r="O250" s="152">
        <f t="shared" si="391"/>
        <v>1.574255222808606</v>
      </c>
      <c r="P250" s="152">
        <f t="shared" si="392"/>
        <v>3.4703581800580832</v>
      </c>
      <c r="Q250" s="191">
        <f t="shared" si="362"/>
        <v>0.1049503481872404</v>
      </c>
      <c r="R250" s="191">
        <f t="shared" si="393"/>
        <v>9.8390951425537873E-2</v>
      </c>
      <c r="S250" s="191">
        <f t="shared" si="394"/>
        <v>15</v>
      </c>
      <c r="T250" s="191">
        <f t="shared" si="395"/>
        <v>0.24297203811564125</v>
      </c>
      <c r="U250" s="191">
        <f t="shared" si="366"/>
        <v>0.43921868428596689</v>
      </c>
      <c r="V250" s="191">
        <f t="shared" si="367"/>
        <v>0.74541029970203254</v>
      </c>
      <c r="W250" s="175">
        <f t="shared" si="368"/>
        <v>350</v>
      </c>
      <c r="X250" s="386">
        <f t="shared" si="369"/>
        <v>350</v>
      </c>
      <c r="Z250" s="191">
        <f t="shared" si="370"/>
        <v>0.58601117528843016</v>
      </c>
      <c r="AA250" s="153">
        <f t="shared" si="371"/>
        <v>1.7978149633522333</v>
      </c>
      <c r="AB250" s="153">
        <f t="shared" si="396"/>
        <v>8.9211019565034411E-2</v>
      </c>
      <c r="AC250" s="153"/>
      <c r="AD250" s="153">
        <f t="shared" si="373"/>
        <v>0.46018276762402083</v>
      </c>
      <c r="AE250" s="317">
        <f t="shared" si="397"/>
        <v>985.11583924349907</v>
      </c>
      <c r="AF250" s="463">
        <f t="shared" si="398"/>
        <v>1.2079797650130546E-2</v>
      </c>
      <c r="AH250" s="153">
        <f t="shared" si="399"/>
        <v>0.35797471510783407</v>
      </c>
      <c r="AI250" s="153">
        <f t="shared" si="400"/>
        <v>0.35797471510783407</v>
      </c>
      <c r="AJ250" s="153">
        <f t="shared" si="401"/>
        <v>1.3540553445243215</v>
      </c>
      <c r="AL250" s="317">
        <f t="shared" si="402"/>
        <v>34</v>
      </c>
      <c r="AM250" s="147">
        <f t="shared" si="403"/>
        <v>350</v>
      </c>
      <c r="AO250">
        <f t="shared" si="381"/>
        <v>34</v>
      </c>
      <c r="AP250">
        <f t="shared" si="382"/>
        <v>350</v>
      </c>
      <c r="AR250" s="5">
        <f t="shared" si="343"/>
        <v>2.8571428571428572</v>
      </c>
      <c r="AS250" s="5">
        <f t="shared" si="385"/>
        <v>0.64710813884877694</v>
      </c>
      <c r="AT250" s="5">
        <f t="shared" si="386"/>
        <v>2.2100347182940805</v>
      </c>
      <c r="AU250" s="153">
        <f t="shared" si="387"/>
        <v>0.22648784859707191</v>
      </c>
      <c r="CI250" s="59">
        <f t="shared" si="404"/>
        <v>-50</v>
      </c>
    </row>
    <row r="251" spans="5:87" x14ac:dyDescent="0.25">
      <c r="E251" s="150">
        <v>35</v>
      </c>
      <c r="F251" s="191">
        <f t="shared" si="405"/>
        <v>3.4999999999999996E-2</v>
      </c>
      <c r="G251" s="191">
        <f t="shared" si="388"/>
        <v>3.4999999999999996E-2</v>
      </c>
      <c r="H251" s="191">
        <f t="shared" si="389"/>
        <v>0.52499999999999991</v>
      </c>
      <c r="I251" s="191">
        <f t="shared" si="390"/>
        <v>0.55999999999999994</v>
      </c>
      <c r="J251" s="472">
        <f t="shared" si="356"/>
        <v>26</v>
      </c>
      <c r="K251" s="386">
        <f t="shared" si="357"/>
        <v>15.32</v>
      </c>
      <c r="L251" s="386">
        <f t="shared" si="358"/>
        <v>41.32</v>
      </c>
      <c r="M251" s="386"/>
      <c r="N251" s="191">
        <f t="shared" si="359"/>
        <v>0.37076476282671827</v>
      </c>
      <c r="O251" s="152">
        <f t="shared" si="391"/>
        <v>1.574255222808606</v>
      </c>
      <c r="P251" s="152">
        <f t="shared" si="392"/>
        <v>3.4703581800580832</v>
      </c>
      <c r="Q251" s="191">
        <f t="shared" si="362"/>
        <v>0.1049503481872404</v>
      </c>
      <c r="R251" s="191">
        <f t="shared" si="393"/>
        <v>9.8390951425537873E-2</v>
      </c>
      <c r="S251" s="191">
        <f t="shared" si="394"/>
        <v>15</v>
      </c>
      <c r="T251" s="191">
        <f t="shared" si="395"/>
        <v>0.25011827453080715</v>
      </c>
      <c r="U251" s="191">
        <f t="shared" si="366"/>
        <v>0.45213688088261289</v>
      </c>
      <c r="V251" s="191">
        <f t="shared" si="367"/>
        <v>0.76733413204620982</v>
      </c>
      <c r="W251" s="175">
        <f t="shared" si="368"/>
        <v>350</v>
      </c>
      <c r="X251" s="386">
        <f t="shared" si="369"/>
        <v>350</v>
      </c>
      <c r="Z251" s="191">
        <f t="shared" si="370"/>
        <v>0.58601117528843016</v>
      </c>
      <c r="AA251" s="153">
        <f t="shared" si="371"/>
        <v>1.7978149633522333</v>
      </c>
      <c r="AB251" s="153">
        <f t="shared" si="396"/>
        <v>8.9211019565034411E-2</v>
      </c>
      <c r="AC251" s="153"/>
      <c r="AD251" s="153">
        <f t="shared" si="373"/>
        <v>0.46018276762402083</v>
      </c>
      <c r="AE251" s="317">
        <f t="shared" si="397"/>
        <v>1014.0898345153665</v>
      </c>
      <c r="AF251" s="463">
        <f t="shared" si="398"/>
        <v>1.2079797650130546E-2</v>
      </c>
      <c r="AH251" s="153">
        <f t="shared" si="399"/>
        <v>0.36320089980205345</v>
      </c>
      <c r="AI251" s="153">
        <f t="shared" si="400"/>
        <v>0.36320089980205345</v>
      </c>
      <c r="AJ251" s="153">
        <f t="shared" si="401"/>
        <v>1.3579265924459656</v>
      </c>
      <c r="AL251" s="317">
        <f t="shared" si="402"/>
        <v>34.999999999999993</v>
      </c>
      <c r="AM251" s="147">
        <f t="shared" si="403"/>
        <v>350</v>
      </c>
      <c r="AO251">
        <f t="shared" si="381"/>
        <v>34.999999999999993</v>
      </c>
      <c r="AP251">
        <f t="shared" si="382"/>
        <v>350</v>
      </c>
      <c r="AR251" s="5">
        <f t="shared" si="343"/>
        <v>2.8571428571428572</v>
      </c>
      <c r="AS251" s="5">
        <f t="shared" si="385"/>
        <v>0.65655547271909653</v>
      </c>
      <c r="AT251" s="5">
        <f t="shared" si="386"/>
        <v>2.2005873844237609</v>
      </c>
      <c r="AU251" s="153">
        <f t="shared" si="387"/>
        <v>0.22979441545168378</v>
      </c>
      <c r="CI251" s="59">
        <f t="shared" si="404"/>
        <v>-50</v>
      </c>
    </row>
    <row r="252" spans="5:87" x14ac:dyDescent="0.25">
      <c r="E252" s="150">
        <v>36</v>
      </c>
      <c r="F252" s="191">
        <f t="shared" si="405"/>
        <v>3.5999999999999997E-2</v>
      </c>
      <c r="G252" s="191">
        <f t="shared" si="388"/>
        <v>3.5999999999999997E-2</v>
      </c>
      <c r="H252" s="191">
        <f t="shared" si="389"/>
        <v>0.53999999999999992</v>
      </c>
      <c r="I252" s="191">
        <f t="shared" si="390"/>
        <v>0.57599999999999996</v>
      </c>
      <c r="J252" s="472">
        <f t="shared" si="356"/>
        <v>26</v>
      </c>
      <c r="K252" s="386">
        <f t="shared" si="357"/>
        <v>15.32</v>
      </c>
      <c r="L252" s="386">
        <f t="shared" si="358"/>
        <v>41.32</v>
      </c>
      <c r="M252" s="386"/>
      <c r="N252" s="191">
        <f t="shared" si="359"/>
        <v>0.37076476282671827</v>
      </c>
      <c r="O252" s="152">
        <f t="shared" si="391"/>
        <v>1.574255222808606</v>
      </c>
      <c r="P252" s="152">
        <f t="shared" si="392"/>
        <v>3.4703581800580832</v>
      </c>
      <c r="Q252" s="191">
        <f t="shared" si="362"/>
        <v>0.1049503481872404</v>
      </c>
      <c r="R252" s="191">
        <f t="shared" si="393"/>
        <v>9.8390951425537873E-2</v>
      </c>
      <c r="S252" s="191">
        <f t="shared" si="394"/>
        <v>15</v>
      </c>
      <c r="T252" s="191">
        <f t="shared" si="395"/>
        <v>0.25726451094597302</v>
      </c>
      <c r="U252" s="191">
        <f t="shared" si="366"/>
        <v>0.46505507747925889</v>
      </c>
      <c r="V252" s="191">
        <f t="shared" si="367"/>
        <v>0.78925796439038709</v>
      </c>
      <c r="W252" s="175">
        <f t="shared" si="368"/>
        <v>350</v>
      </c>
      <c r="X252" s="386">
        <f t="shared" si="369"/>
        <v>350</v>
      </c>
      <c r="Z252" s="191">
        <f t="shared" si="370"/>
        <v>0.58601117528843016</v>
      </c>
      <c r="AA252" s="153">
        <f t="shared" si="371"/>
        <v>1.7978149633522333</v>
      </c>
      <c r="AB252" s="153">
        <f t="shared" si="396"/>
        <v>8.9211019565034411E-2</v>
      </c>
      <c r="AC252" s="153"/>
      <c r="AD252" s="153">
        <f t="shared" si="373"/>
        <v>0.46018276762402083</v>
      </c>
      <c r="AE252" s="317">
        <f t="shared" si="397"/>
        <v>1043.0638297872342</v>
      </c>
      <c r="AF252" s="463">
        <f t="shared" si="398"/>
        <v>1.2079797650130546E-2</v>
      </c>
      <c r="AH252" s="153">
        <f t="shared" si="399"/>
        <v>0.36835294294671733</v>
      </c>
      <c r="AI252" s="153">
        <f t="shared" si="400"/>
        <v>0.36835294294671733</v>
      </c>
      <c r="AJ252" s="153">
        <f t="shared" si="401"/>
        <v>1.3617429207012721</v>
      </c>
      <c r="AL252" s="317">
        <f t="shared" si="402"/>
        <v>36</v>
      </c>
      <c r="AM252" s="147">
        <f t="shared" si="403"/>
        <v>350</v>
      </c>
      <c r="AO252">
        <f t="shared" si="381"/>
        <v>36</v>
      </c>
      <c r="AP252">
        <f t="shared" si="382"/>
        <v>350</v>
      </c>
      <c r="AR252" s="5">
        <f t="shared" si="343"/>
        <v>2.8571428571428572</v>
      </c>
      <c r="AS252" s="5">
        <f t="shared" si="385"/>
        <v>0.66586878148060435</v>
      </c>
      <c r="AT252" s="5">
        <f t="shared" si="386"/>
        <v>2.1912740756622529</v>
      </c>
      <c r="AU252" s="153">
        <f t="shared" si="387"/>
        <v>0.23305407351821153</v>
      </c>
      <c r="CI252" s="59">
        <f t="shared" si="404"/>
        <v>-50</v>
      </c>
    </row>
    <row r="253" spans="5:87" x14ac:dyDescent="0.25">
      <c r="E253" s="150">
        <v>37</v>
      </c>
      <c r="F253" s="191">
        <f t="shared" si="405"/>
        <v>3.6999999999999998E-2</v>
      </c>
      <c r="G253" s="191">
        <f t="shared" si="388"/>
        <v>3.6999999999999998E-2</v>
      </c>
      <c r="H253" s="191">
        <f t="shared" si="389"/>
        <v>0.55499999999999994</v>
      </c>
      <c r="I253" s="191">
        <f t="shared" si="390"/>
        <v>0.59199999999999997</v>
      </c>
      <c r="J253" s="472">
        <f t="shared" si="356"/>
        <v>26</v>
      </c>
      <c r="K253" s="386">
        <f t="shared" si="357"/>
        <v>15.32</v>
      </c>
      <c r="L253" s="386">
        <f t="shared" si="358"/>
        <v>41.32</v>
      </c>
      <c r="M253" s="386"/>
      <c r="N253" s="191">
        <f t="shared" si="359"/>
        <v>0.37076476282671827</v>
      </c>
      <c r="O253" s="152">
        <f t="shared" si="391"/>
        <v>1.574255222808606</v>
      </c>
      <c r="P253" s="152">
        <f t="shared" si="392"/>
        <v>3.4703581800580832</v>
      </c>
      <c r="Q253" s="191">
        <f t="shared" si="362"/>
        <v>0.1049503481872404</v>
      </c>
      <c r="R253" s="191">
        <f t="shared" si="393"/>
        <v>9.8390951425537873E-2</v>
      </c>
      <c r="S253" s="191">
        <f t="shared" si="394"/>
        <v>15</v>
      </c>
      <c r="T253" s="191">
        <f t="shared" si="395"/>
        <v>0.26441074736113895</v>
      </c>
      <c r="U253" s="191">
        <f t="shared" si="366"/>
        <v>0.47797327407590501</v>
      </c>
      <c r="V253" s="191">
        <f t="shared" si="367"/>
        <v>0.8111817967345647</v>
      </c>
      <c r="W253" s="175">
        <f t="shared" si="368"/>
        <v>350</v>
      </c>
      <c r="X253" s="386">
        <f t="shared" si="369"/>
        <v>350</v>
      </c>
      <c r="Z253" s="191">
        <f t="shared" si="370"/>
        <v>0.58601117528843016</v>
      </c>
      <c r="AA253" s="153">
        <f t="shared" si="371"/>
        <v>1.7978149633522333</v>
      </c>
      <c r="AB253" s="153">
        <f t="shared" si="396"/>
        <v>8.9211019565034411E-2</v>
      </c>
      <c r="AC253" s="153"/>
      <c r="AD253" s="153">
        <f t="shared" si="373"/>
        <v>0.46018276762402083</v>
      </c>
      <c r="AE253" s="317">
        <f t="shared" si="397"/>
        <v>1072.0378250591018</v>
      </c>
      <c r="AF253" s="463">
        <f t="shared" si="398"/>
        <v>1.2079797650130546E-2</v>
      </c>
      <c r="AH253" s="153">
        <f t="shared" si="399"/>
        <v>0.37343391321356167</v>
      </c>
      <c r="AI253" s="153">
        <f t="shared" si="400"/>
        <v>0.37343391321356167</v>
      </c>
      <c r="AJ253" s="153">
        <f t="shared" si="401"/>
        <v>1.3655066023804161</v>
      </c>
      <c r="AL253" s="317">
        <f t="shared" si="402"/>
        <v>37</v>
      </c>
      <c r="AM253" s="147">
        <f t="shared" si="403"/>
        <v>350</v>
      </c>
      <c r="AO253">
        <f t="shared" si="381"/>
        <v>37</v>
      </c>
      <c r="AP253">
        <f t="shared" si="382"/>
        <v>350</v>
      </c>
      <c r="AR253" s="5">
        <f t="shared" si="343"/>
        <v>2.8571428571428572</v>
      </c>
      <c r="AS253" s="5">
        <f t="shared" si="385"/>
        <v>0.67505361234759209</v>
      </c>
      <c r="AT253" s="5">
        <f t="shared" si="386"/>
        <v>2.1820892447952653</v>
      </c>
      <c r="AU253" s="153">
        <f t="shared" si="387"/>
        <v>0.23626876432165722</v>
      </c>
      <c r="CI253" s="59">
        <f t="shared" si="404"/>
        <v>-50</v>
      </c>
    </row>
    <row r="254" spans="5:87" x14ac:dyDescent="0.25">
      <c r="E254" s="150">
        <v>38</v>
      </c>
      <c r="F254" s="191">
        <f t="shared" si="405"/>
        <v>3.8000000000000006E-2</v>
      </c>
      <c r="G254" s="191">
        <f t="shared" si="388"/>
        <v>3.8000000000000006E-2</v>
      </c>
      <c r="H254" s="191">
        <f t="shared" si="389"/>
        <v>0.57000000000000006</v>
      </c>
      <c r="I254" s="191">
        <f t="shared" si="390"/>
        <v>0.6080000000000001</v>
      </c>
      <c r="J254" s="472">
        <f t="shared" si="356"/>
        <v>26</v>
      </c>
      <c r="K254" s="386">
        <f t="shared" si="357"/>
        <v>15.32</v>
      </c>
      <c r="L254" s="386">
        <f t="shared" si="358"/>
        <v>41.32</v>
      </c>
      <c r="M254" s="386"/>
      <c r="N254" s="191">
        <f t="shared" si="359"/>
        <v>0.37076476282671827</v>
      </c>
      <c r="O254" s="152">
        <f t="shared" si="391"/>
        <v>1.574255222808606</v>
      </c>
      <c r="P254" s="152">
        <f t="shared" si="392"/>
        <v>3.4703581800580832</v>
      </c>
      <c r="Q254" s="191">
        <f t="shared" si="362"/>
        <v>0.1049503481872404</v>
      </c>
      <c r="R254" s="191">
        <f t="shared" si="393"/>
        <v>9.8390951425537873E-2</v>
      </c>
      <c r="S254" s="191">
        <f t="shared" si="394"/>
        <v>15</v>
      </c>
      <c r="T254" s="191">
        <f t="shared" si="395"/>
        <v>0.27155698377630494</v>
      </c>
      <c r="U254" s="191">
        <f t="shared" si="366"/>
        <v>0.49089147067255129</v>
      </c>
      <c r="V254" s="191">
        <f t="shared" si="367"/>
        <v>0.8331056290787423</v>
      </c>
      <c r="W254" s="175">
        <f t="shared" si="368"/>
        <v>350</v>
      </c>
      <c r="X254" s="386">
        <f t="shared" si="369"/>
        <v>350</v>
      </c>
      <c r="Z254" s="191">
        <f t="shared" si="370"/>
        <v>0.58601117528843016</v>
      </c>
      <c r="AA254" s="153">
        <f t="shared" si="371"/>
        <v>1.7978149633522333</v>
      </c>
      <c r="AB254" s="153">
        <f t="shared" si="396"/>
        <v>8.9211019565034411E-2</v>
      </c>
      <c r="AC254" s="153"/>
      <c r="AD254" s="153">
        <f t="shared" si="373"/>
        <v>0.46018276762402083</v>
      </c>
      <c r="AE254" s="317">
        <f t="shared" si="397"/>
        <v>1101.0118203309698</v>
      </c>
      <c r="AF254" s="463">
        <f t="shared" si="398"/>
        <v>1.2079797650130546E-2</v>
      </c>
      <c r="AH254" s="153">
        <f t="shared" si="399"/>
        <v>0.37844667325592951</v>
      </c>
      <c r="AI254" s="153">
        <f t="shared" si="400"/>
        <v>0.37844667325592951</v>
      </c>
      <c r="AJ254" s="153">
        <f t="shared" si="401"/>
        <v>1.3692197579673551</v>
      </c>
      <c r="AL254" s="317">
        <f t="shared" si="402"/>
        <v>38.000000000000007</v>
      </c>
      <c r="AM254" s="147">
        <f t="shared" si="403"/>
        <v>350</v>
      </c>
      <c r="AO254">
        <f t="shared" si="381"/>
        <v>38.000000000000007</v>
      </c>
      <c r="AP254">
        <f t="shared" si="382"/>
        <v>350</v>
      </c>
      <c r="AR254" s="5">
        <f t="shared" si="343"/>
        <v>2.8571428571428572</v>
      </c>
      <c r="AS254" s="5">
        <f t="shared" si="385"/>
        <v>0.68411514011648789</v>
      </c>
      <c r="AT254" s="5">
        <f t="shared" si="386"/>
        <v>2.1730277170263692</v>
      </c>
      <c r="AU254" s="153">
        <f t="shared" si="387"/>
        <v>0.23944029904077074</v>
      </c>
      <c r="CI254" s="59">
        <f t="shared" si="404"/>
        <v>-50</v>
      </c>
    </row>
    <row r="255" spans="5:87" x14ac:dyDescent="0.25">
      <c r="E255" s="150">
        <v>39</v>
      </c>
      <c r="F255" s="191">
        <f t="shared" si="405"/>
        <v>3.9000000000000007E-2</v>
      </c>
      <c r="G255" s="191">
        <f t="shared" si="388"/>
        <v>3.9000000000000007E-2</v>
      </c>
      <c r="H255" s="191">
        <f t="shared" si="389"/>
        <v>0.58500000000000008</v>
      </c>
      <c r="I255" s="191">
        <f t="shared" si="390"/>
        <v>0.62400000000000011</v>
      </c>
      <c r="J255" s="472">
        <f t="shared" si="356"/>
        <v>26</v>
      </c>
      <c r="K255" s="386">
        <f t="shared" si="357"/>
        <v>15.32</v>
      </c>
      <c r="L255" s="386">
        <f t="shared" si="358"/>
        <v>41.32</v>
      </c>
      <c r="M255" s="386"/>
      <c r="N255" s="191">
        <f t="shared" si="359"/>
        <v>0.37076476282671827</v>
      </c>
      <c r="O255" s="152">
        <f t="shared" si="391"/>
        <v>1.574255222808606</v>
      </c>
      <c r="P255" s="152">
        <f t="shared" si="392"/>
        <v>3.4703581800580832</v>
      </c>
      <c r="Q255" s="191">
        <f t="shared" si="362"/>
        <v>0.1049503481872404</v>
      </c>
      <c r="R255" s="191">
        <f t="shared" si="393"/>
        <v>9.8390951425537873E-2</v>
      </c>
      <c r="S255" s="191">
        <f t="shared" si="394"/>
        <v>15</v>
      </c>
      <c r="T255" s="191">
        <f t="shared" si="395"/>
        <v>0.27870322019147081</v>
      </c>
      <c r="U255" s="191">
        <f t="shared" si="366"/>
        <v>0.50380966726919718</v>
      </c>
      <c r="V255" s="191">
        <f t="shared" si="367"/>
        <v>0.85502946142291958</v>
      </c>
      <c r="W255" s="175">
        <f t="shared" si="368"/>
        <v>350</v>
      </c>
      <c r="X255" s="386">
        <f t="shared" si="369"/>
        <v>350</v>
      </c>
      <c r="Z255" s="191">
        <f t="shared" si="370"/>
        <v>0.58601117528843016</v>
      </c>
      <c r="AA255" s="153">
        <f t="shared" si="371"/>
        <v>1.7978149633522333</v>
      </c>
      <c r="AB255" s="153">
        <f t="shared" si="396"/>
        <v>8.9211019565034411E-2</v>
      </c>
      <c r="AC255" s="153"/>
      <c r="AD255" s="153">
        <f t="shared" si="373"/>
        <v>0.46018276762402083</v>
      </c>
      <c r="AE255" s="317">
        <f t="shared" si="397"/>
        <v>1129.9858156028374</v>
      </c>
      <c r="AF255" s="463">
        <f t="shared" si="398"/>
        <v>1.2079797650130546E-2</v>
      </c>
      <c r="AH255" s="153">
        <f t="shared" si="399"/>
        <v>0.38339389856773487</v>
      </c>
      <c r="AI255" s="153">
        <f t="shared" si="400"/>
        <v>0.38339389856773487</v>
      </c>
      <c r="AJ255" s="153">
        <f t="shared" si="401"/>
        <v>1.3728843693094333</v>
      </c>
      <c r="AL255" s="317">
        <f t="shared" si="402"/>
        <v>39.000000000000007</v>
      </c>
      <c r="AM255" s="147">
        <f t="shared" si="403"/>
        <v>350</v>
      </c>
      <c r="AO255">
        <f t="shared" si="381"/>
        <v>39.000000000000007</v>
      </c>
      <c r="AP255">
        <f t="shared" si="382"/>
        <v>350</v>
      </c>
      <c r="AR255" s="5">
        <f t="shared" si="343"/>
        <v>2.8571428571428572</v>
      </c>
      <c r="AS255" s="5">
        <f t="shared" si="385"/>
        <v>0.69305820125705908</v>
      </c>
      <c r="AT255" s="5">
        <f t="shared" si="386"/>
        <v>2.164084655885798</v>
      </c>
      <c r="AU255" s="153">
        <f t="shared" si="387"/>
        <v>0.24257037043997068</v>
      </c>
      <c r="CI255" s="59">
        <f t="shared" si="404"/>
        <v>-50</v>
      </c>
    </row>
    <row r="256" spans="5:87" x14ac:dyDescent="0.25">
      <c r="E256" s="150">
        <v>40</v>
      </c>
      <c r="F256" s="191">
        <f t="shared" si="405"/>
        <v>4.0000000000000008E-2</v>
      </c>
      <c r="G256" s="191">
        <f t="shared" si="388"/>
        <v>4.0000000000000008E-2</v>
      </c>
      <c r="H256" s="191">
        <f t="shared" si="389"/>
        <v>0.60000000000000009</v>
      </c>
      <c r="I256" s="191">
        <f t="shared" si="390"/>
        <v>0.64000000000000012</v>
      </c>
      <c r="J256" s="472">
        <f t="shared" si="356"/>
        <v>26</v>
      </c>
      <c r="K256" s="386">
        <f t="shared" si="357"/>
        <v>15.32</v>
      </c>
      <c r="L256" s="386">
        <f t="shared" si="358"/>
        <v>41.32</v>
      </c>
      <c r="M256" s="386"/>
      <c r="N256" s="191">
        <f t="shared" si="359"/>
        <v>0.37076476282671827</v>
      </c>
      <c r="O256" s="152">
        <f t="shared" si="391"/>
        <v>1.574255222808606</v>
      </c>
      <c r="P256" s="152">
        <f t="shared" si="392"/>
        <v>3.4703581800580832</v>
      </c>
      <c r="Q256" s="191">
        <f t="shared" si="362"/>
        <v>0.1049503481872404</v>
      </c>
      <c r="R256" s="191">
        <f t="shared" si="393"/>
        <v>9.8390951425537873E-2</v>
      </c>
      <c r="S256" s="191">
        <f t="shared" si="394"/>
        <v>15</v>
      </c>
      <c r="T256" s="191">
        <f t="shared" si="395"/>
        <v>0.2858494566066368</v>
      </c>
      <c r="U256" s="191">
        <f t="shared" si="366"/>
        <v>0.51672786386584335</v>
      </c>
      <c r="V256" s="191">
        <f t="shared" si="367"/>
        <v>0.87695329376709708</v>
      </c>
      <c r="W256" s="175">
        <f t="shared" si="368"/>
        <v>350</v>
      </c>
      <c r="X256" s="386">
        <f t="shared" si="369"/>
        <v>350</v>
      </c>
      <c r="Z256" s="191">
        <f t="shared" si="370"/>
        <v>0.58601117528843016</v>
      </c>
      <c r="AA256" s="153">
        <f t="shared" si="371"/>
        <v>1.7978149633522333</v>
      </c>
      <c r="AB256" s="153">
        <f t="shared" si="396"/>
        <v>8.9211019565034411E-2</v>
      </c>
      <c r="AC256" s="153"/>
      <c r="AD256" s="153">
        <f t="shared" si="373"/>
        <v>0.46018276762402083</v>
      </c>
      <c r="AE256" s="317">
        <f t="shared" si="397"/>
        <v>1158.959810874705</v>
      </c>
      <c r="AF256" s="463">
        <f t="shared" si="398"/>
        <v>1.2079797650130546E-2</v>
      </c>
      <c r="AH256" s="153">
        <f t="shared" si="399"/>
        <v>0.38827809417922732</v>
      </c>
      <c r="AI256" s="153">
        <f t="shared" si="400"/>
        <v>0.38827809417922732</v>
      </c>
      <c r="AJ256" s="153">
        <f t="shared" si="401"/>
        <v>1.3765022919846128</v>
      </c>
      <c r="AL256" s="317">
        <f t="shared" si="402"/>
        <v>40.000000000000007</v>
      </c>
      <c r="AM256" s="147">
        <f t="shared" si="403"/>
        <v>350</v>
      </c>
      <c r="AO256">
        <f t="shared" si="381"/>
        <v>40.000000000000007</v>
      </c>
      <c r="AP256">
        <f t="shared" si="382"/>
        <v>350</v>
      </c>
      <c r="AR256" s="5">
        <f t="shared" si="343"/>
        <v>2.8571428571428572</v>
      </c>
      <c r="AS256" s="5">
        <f t="shared" si="385"/>
        <v>0.70188732409321863</v>
      </c>
      <c r="AT256" s="5">
        <f t="shared" si="386"/>
        <v>2.1552555330496386</v>
      </c>
      <c r="AU256" s="153">
        <f t="shared" si="387"/>
        <v>0.24566056343262652</v>
      </c>
      <c r="CI256" s="59">
        <f t="shared" si="404"/>
        <v>-50</v>
      </c>
    </row>
    <row r="257" spans="5:87" x14ac:dyDescent="0.25">
      <c r="E257" s="150">
        <v>41</v>
      </c>
      <c r="F257" s="191">
        <f t="shared" si="405"/>
        <v>4.1000000000000002E-2</v>
      </c>
      <c r="G257" s="191">
        <f t="shared" si="388"/>
        <v>4.1000000000000002E-2</v>
      </c>
      <c r="H257" s="191">
        <f t="shared" si="389"/>
        <v>0.61499999999999999</v>
      </c>
      <c r="I257" s="191">
        <f t="shared" si="390"/>
        <v>0.65600000000000003</v>
      </c>
      <c r="J257" s="472">
        <f t="shared" si="356"/>
        <v>26</v>
      </c>
      <c r="K257" s="386">
        <f t="shared" si="357"/>
        <v>15.32</v>
      </c>
      <c r="L257" s="386">
        <f t="shared" si="358"/>
        <v>41.32</v>
      </c>
      <c r="M257" s="386"/>
      <c r="N257" s="191">
        <f t="shared" si="359"/>
        <v>0.37076476282671827</v>
      </c>
      <c r="O257" s="152">
        <f t="shared" si="391"/>
        <v>1.574255222808606</v>
      </c>
      <c r="P257" s="152">
        <f t="shared" si="392"/>
        <v>3.4703581800580832</v>
      </c>
      <c r="Q257" s="191">
        <f t="shared" si="362"/>
        <v>0.1049503481872404</v>
      </c>
      <c r="R257" s="191">
        <f t="shared" si="393"/>
        <v>9.8390951425537873E-2</v>
      </c>
      <c r="S257" s="191">
        <f t="shared" si="394"/>
        <v>15</v>
      </c>
      <c r="T257" s="191">
        <f t="shared" si="395"/>
        <v>0.29299569302180262</v>
      </c>
      <c r="U257" s="191">
        <f t="shared" si="366"/>
        <v>0.5296460604624893</v>
      </c>
      <c r="V257" s="191">
        <f t="shared" si="367"/>
        <v>0.89887712611127435</v>
      </c>
      <c r="W257" s="175">
        <f t="shared" si="368"/>
        <v>350</v>
      </c>
      <c r="X257" s="386">
        <f t="shared" si="369"/>
        <v>350</v>
      </c>
      <c r="Z257" s="191">
        <f t="shared" si="370"/>
        <v>0.58601117528843016</v>
      </c>
      <c r="AA257" s="153">
        <f t="shared" si="371"/>
        <v>1.7978149633522333</v>
      </c>
      <c r="AB257" s="153">
        <f t="shared" si="396"/>
        <v>8.9211019565034411E-2</v>
      </c>
      <c r="AC257" s="153"/>
      <c r="AD257" s="153">
        <f t="shared" si="373"/>
        <v>0.46018276762402083</v>
      </c>
      <c r="AE257" s="317">
        <f t="shared" si="397"/>
        <v>1187.9338061465724</v>
      </c>
      <c r="AF257" s="463">
        <f t="shared" si="398"/>
        <v>1.2079797650130546E-2</v>
      </c>
      <c r="AH257" s="153">
        <f t="shared" si="399"/>
        <v>0.39310160948530748</v>
      </c>
      <c r="AI257" s="153">
        <f t="shared" si="400"/>
        <v>0.39310160948530748</v>
      </c>
      <c r="AJ257" s="153">
        <f t="shared" si="401"/>
        <v>1.380075266285413</v>
      </c>
      <c r="AL257" s="317">
        <f t="shared" si="402"/>
        <v>41</v>
      </c>
      <c r="AM257" s="147">
        <f t="shared" si="403"/>
        <v>350</v>
      </c>
      <c r="AO257">
        <f t="shared" si="381"/>
        <v>41</v>
      </c>
      <c r="AP257">
        <f t="shared" si="382"/>
        <v>350</v>
      </c>
      <c r="AR257" s="5">
        <f t="shared" si="343"/>
        <v>2.8571428571428572</v>
      </c>
      <c r="AS257" s="5">
        <f t="shared" si="385"/>
        <v>0.71060675560805575</v>
      </c>
      <c r="AT257" s="5">
        <f t="shared" si="386"/>
        <v>2.1465361015348012</v>
      </c>
      <c r="AU257" s="153">
        <f t="shared" si="387"/>
        <v>0.2487123644628195</v>
      </c>
      <c r="CI257" s="59">
        <f t="shared" si="404"/>
        <v>-50</v>
      </c>
    </row>
    <row r="258" spans="5:87" x14ac:dyDescent="0.25">
      <c r="E258" s="150">
        <v>42</v>
      </c>
      <c r="F258" s="191">
        <f t="shared" si="405"/>
        <v>4.2000000000000003E-2</v>
      </c>
      <c r="G258" s="191">
        <f t="shared" si="388"/>
        <v>4.2000000000000003E-2</v>
      </c>
      <c r="H258" s="191">
        <f t="shared" si="389"/>
        <v>0.63</v>
      </c>
      <c r="I258" s="191">
        <f t="shared" si="390"/>
        <v>0.67200000000000004</v>
      </c>
      <c r="J258" s="472">
        <f t="shared" si="356"/>
        <v>26</v>
      </c>
      <c r="K258" s="386">
        <f t="shared" si="357"/>
        <v>15.32</v>
      </c>
      <c r="L258" s="386">
        <f t="shared" si="358"/>
        <v>41.32</v>
      </c>
      <c r="M258" s="386"/>
      <c r="N258" s="191">
        <f t="shared" si="359"/>
        <v>0.37076476282671827</v>
      </c>
      <c r="O258" s="152">
        <f t="shared" si="391"/>
        <v>1.574255222808606</v>
      </c>
      <c r="P258" s="152">
        <f t="shared" si="392"/>
        <v>3.4703581800580832</v>
      </c>
      <c r="Q258" s="191">
        <f t="shared" si="362"/>
        <v>0.1049503481872404</v>
      </c>
      <c r="R258" s="191">
        <f t="shared" si="393"/>
        <v>9.8390951425537873E-2</v>
      </c>
      <c r="S258" s="191">
        <f t="shared" si="394"/>
        <v>15</v>
      </c>
      <c r="T258" s="191">
        <f t="shared" si="395"/>
        <v>0.3001419294369686</v>
      </c>
      <c r="U258" s="191">
        <f t="shared" si="366"/>
        <v>0.54256425705913558</v>
      </c>
      <c r="V258" s="191">
        <f t="shared" si="367"/>
        <v>0.92080095845545196</v>
      </c>
      <c r="W258" s="175">
        <f t="shared" si="368"/>
        <v>350</v>
      </c>
      <c r="X258" s="386">
        <f t="shared" si="369"/>
        <v>350</v>
      </c>
      <c r="Z258" s="191">
        <f t="shared" si="370"/>
        <v>0.58601117528843016</v>
      </c>
      <c r="AA258" s="153">
        <f t="shared" si="371"/>
        <v>1.7978149633522333</v>
      </c>
      <c r="AB258" s="153">
        <f t="shared" si="396"/>
        <v>8.9211019565034411E-2</v>
      </c>
      <c r="AC258" s="153"/>
      <c r="AD258" s="153">
        <f t="shared" si="373"/>
        <v>0.46018276762402083</v>
      </c>
      <c r="AE258" s="317">
        <f t="shared" si="397"/>
        <v>1216.9078014184402</v>
      </c>
      <c r="AF258" s="463">
        <f t="shared" si="398"/>
        <v>1.2079797650130546E-2</v>
      </c>
      <c r="AH258" s="153">
        <f t="shared" si="399"/>
        <v>0.39786665145551664</v>
      </c>
      <c r="AI258" s="153">
        <f t="shared" si="400"/>
        <v>0.39786665145551664</v>
      </c>
      <c r="AJ258" s="153">
        <f t="shared" si="401"/>
        <v>1.3836049270040864</v>
      </c>
      <c r="AL258" s="317">
        <f t="shared" si="402"/>
        <v>42</v>
      </c>
      <c r="AM258" s="147">
        <f t="shared" si="403"/>
        <v>350</v>
      </c>
      <c r="AO258">
        <f t="shared" si="381"/>
        <v>42</v>
      </c>
      <c r="AP258">
        <f t="shared" si="382"/>
        <v>350</v>
      </c>
      <c r="AR258" s="5">
        <f t="shared" si="343"/>
        <v>2.8571428571428572</v>
      </c>
      <c r="AS258" s="5">
        <f t="shared" si="385"/>
        <v>0.71922048532343397</v>
      </c>
      <c r="AT258" s="5">
        <f t="shared" si="386"/>
        <v>2.1379223718194234</v>
      </c>
      <c r="AU258" s="153">
        <f t="shared" si="387"/>
        <v>0.25172716986320187</v>
      </c>
      <c r="CI258" s="59">
        <f t="shared" si="404"/>
        <v>-50</v>
      </c>
    </row>
    <row r="259" spans="5:87" x14ac:dyDescent="0.25">
      <c r="E259" s="150">
        <v>43</v>
      </c>
      <c r="F259" s="191">
        <f t="shared" si="405"/>
        <v>4.3000000000000003E-2</v>
      </c>
      <c r="G259" s="191">
        <f t="shared" si="388"/>
        <v>4.3000000000000003E-2</v>
      </c>
      <c r="H259" s="191">
        <f t="shared" si="389"/>
        <v>0.64500000000000002</v>
      </c>
      <c r="I259" s="191">
        <f t="shared" si="390"/>
        <v>0.68800000000000006</v>
      </c>
      <c r="J259" s="472">
        <f t="shared" si="356"/>
        <v>26</v>
      </c>
      <c r="K259" s="386">
        <f t="shared" si="357"/>
        <v>15.32</v>
      </c>
      <c r="L259" s="386">
        <f t="shared" si="358"/>
        <v>41.32</v>
      </c>
      <c r="M259" s="386"/>
      <c r="N259" s="191">
        <f t="shared" si="359"/>
        <v>0.37076476282671827</v>
      </c>
      <c r="O259" s="152">
        <f t="shared" si="391"/>
        <v>1.574255222808606</v>
      </c>
      <c r="P259" s="152">
        <f t="shared" si="392"/>
        <v>3.4703581800580832</v>
      </c>
      <c r="Q259" s="191">
        <f t="shared" si="362"/>
        <v>0.1049503481872404</v>
      </c>
      <c r="R259" s="191">
        <f t="shared" si="393"/>
        <v>9.8390951425537873E-2</v>
      </c>
      <c r="S259" s="191">
        <f t="shared" si="394"/>
        <v>15</v>
      </c>
      <c r="T259" s="191">
        <f t="shared" si="395"/>
        <v>0.30728816585213453</v>
      </c>
      <c r="U259" s="191">
        <f t="shared" si="366"/>
        <v>0.55548245365578164</v>
      </c>
      <c r="V259" s="191">
        <f t="shared" si="367"/>
        <v>0.94272479079962945</v>
      </c>
      <c r="W259" s="175">
        <f t="shared" si="368"/>
        <v>350</v>
      </c>
      <c r="X259" s="386">
        <f t="shared" si="369"/>
        <v>350</v>
      </c>
      <c r="Z259" s="191">
        <f t="shared" si="370"/>
        <v>0.58601117528843016</v>
      </c>
      <c r="AA259" s="153">
        <f t="shared" si="371"/>
        <v>1.7978149633522333</v>
      </c>
      <c r="AB259" s="153">
        <f t="shared" si="396"/>
        <v>8.9211019565034411E-2</v>
      </c>
      <c r="AC259" s="153"/>
      <c r="AD259" s="153">
        <f t="shared" si="373"/>
        <v>0.46018276762402083</v>
      </c>
      <c r="AE259" s="317">
        <f t="shared" si="397"/>
        <v>1245.8817966903077</v>
      </c>
      <c r="AF259" s="463">
        <f t="shared" si="398"/>
        <v>1.2079797650130546E-2</v>
      </c>
      <c r="AH259" s="153">
        <f t="shared" si="399"/>
        <v>0.40257529643647022</v>
      </c>
      <c r="AI259" s="153">
        <f t="shared" si="400"/>
        <v>0.40257529643647022</v>
      </c>
      <c r="AJ259" s="153">
        <f t="shared" si="401"/>
        <v>1.3870928121751631</v>
      </c>
      <c r="AL259" s="317">
        <f t="shared" si="402"/>
        <v>43</v>
      </c>
      <c r="AM259" s="147">
        <f t="shared" si="403"/>
        <v>350</v>
      </c>
      <c r="AO259">
        <f t="shared" si="381"/>
        <v>43</v>
      </c>
      <c r="AP259">
        <f t="shared" si="382"/>
        <v>350</v>
      </c>
      <c r="AR259" s="5">
        <f t="shared" si="343"/>
        <v>2.8571428571428572</v>
      </c>
      <c r="AS259" s="5">
        <f t="shared" si="385"/>
        <v>0.72773226663515767</v>
      </c>
      <c r="AT259" s="5">
        <f t="shared" si="386"/>
        <v>2.1294105905076997</v>
      </c>
      <c r="AU259" s="153">
        <f t="shared" si="387"/>
        <v>0.25470629332230516</v>
      </c>
      <c r="CI259" s="59">
        <f t="shared" si="404"/>
        <v>-50</v>
      </c>
    </row>
    <row r="260" spans="5:87" x14ac:dyDescent="0.25">
      <c r="E260" s="150">
        <v>44</v>
      </c>
      <c r="F260" s="191">
        <f t="shared" si="405"/>
        <v>4.4000000000000004E-2</v>
      </c>
      <c r="G260" s="191">
        <f t="shared" si="388"/>
        <v>4.4000000000000004E-2</v>
      </c>
      <c r="H260" s="191">
        <f t="shared" si="389"/>
        <v>0.66</v>
      </c>
      <c r="I260" s="191">
        <f t="shared" si="390"/>
        <v>0.70400000000000007</v>
      </c>
      <c r="J260" s="472">
        <f t="shared" si="356"/>
        <v>26</v>
      </c>
      <c r="K260" s="386">
        <f t="shared" si="357"/>
        <v>15.32</v>
      </c>
      <c r="L260" s="386">
        <f t="shared" si="358"/>
        <v>41.32</v>
      </c>
      <c r="M260" s="386"/>
      <c r="N260" s="191">
        <f t="shared" si="359"/>
        <v>0.37076476282671827</v>
      </c>
      <c r="O260" s="152">
        <f t="shared" si="391"/>
        <v>1.574255222808606</v>
      </c>
      <c r="P260" s="152">
        <f t="shared" si="392"/>
        <v>3.4703581800580832</v>
      </c>
      <c r="Q260" s="191">
        <f t="shared" si="362"/>
        <v>0.1049503481872404</v>
      </c>
      <c r="R260" s="191">
        <f t="shared" si="393"/>
        <v>9.8390951425537873E-2</v>
      </c>
      <c r="S260" s="191">
        <f t="shared" si="394"/>
        <v>15</v>
      </c>
      <c r="T260" s="191">
        <f t="shared" si="395"/>
        <v>0.31443440226730046</v>
      </c>
      <c r="U260" s="191">
        <f t="shared" si="366"/>
        <v>0.5684006502524277</v>
      </c>
      <c r="V260" s="191">
        <f t="shared" si="367"/>
        <v>0.96464862314380684</v>
      </c>
      <c r="W260" s="175">
        <f t="shared" si="368"/>
        <v>350</v>
      </c>
      <c r="X260" s="386">
        <f t="shared" si="369"/>
        <v>350</v>
      </c>
      <c r="Z260" s="191">
        <f t="shared" si="370"/>
        <v>0.58601117528843016</v>
      </c>
      <c r="AA260" s="153">
        <f t="shared" si="371"/>
        <v>1.7978149633522333</v>
      </c>
      <c r="AB260" s="153">
        <f t="shared" si="396"/>
        <v>8.9211019565034411E-2</v>
      </c>
      <c r="AC260" s="153"/>
      <c r="AD260" s="153">
        <f t="shared" si="373"/>
        <v>0.46018276762402083</v>
      </c>
      <c r="AE260" s="317">
        <f t="shared" si="397"/>
        <v>1274.8557919621753</v>
      </c>
      <c r="AF260" s="463">
        <f t="shared" si="398"/>
        <v>1.2079797650130546E-2</v>
      </c>
      <c r="AH260" s="153">
        <f t="shared" si="399"/>
        <v>0.40722950072581704</v>
      </c>
      <c r="AI260" s="153">
        <f t="shared" si="400"/>
        <v>0.40722950072581704</v>
      </c>
      <c r="AJ260" s="153">
        <f t="shared" si="401"/>
        <v>1.3905403709080126</v>
      </c>
      <c r="AL260" s="317">
        <f t="shared" si="402"/>
        <v>44.000000000000007</v>
      </c>
      <c r="AM260" s="147">
        <f t="shared" si="403"/>
        <v>350</v>
      </c>
      <c r="AO260">
        <f t="shared" si="381"/>
        <v>44.000000000000007</v>
      </c>
      <c r="AP260">
        <f t="shared" si="382"/>
        <v>350</v>
      </c>
      <c r="AR260" s="5">
        <f t="shared" si="343"/>
        <v>2.8571428571428572</v>
      </c>
      <c r="AS260" s="5">
        <f t="shared" si="385"/>
        <v>0.73614563592743854</v>
      </c>
      <c r="AT260" s="5">
        <f t="shared" si="386"/>
        <v>2.1209972212154184</v>
      </c>
      <c r="AU260" s="153">
        <f t="shared" si="387"/>
        <v>0.25765097257460345</v>
      </c>
      <c r="CI260" s="59">
        <f t="shared" si="404"/>
        <v>-50</v>
      </c>
    </row>
    <row r="261" spans="5:87" x14ac:dyDescent="0.25">
      <c r="E261" s="150">
        <v>45</v>
      </c>
      <c r="F261" s="191">
        <f t="shared" si="405"/>
        <v>4.5000000000000005E-2</v>
      </c>
      <c r="G261" s="191">
        <f t="shared" si="388"/>
        <v>4.5000000000000005E-2</v>
      </c>
      <c r="H261" s="191">
        <f t="shared" si="389"/>
        <v>0.67500000000000004</v>
      </c>
      <c r="I261" s="191">
        <f t="shared" si="390"/>
        <v>0.72000000000000008</v>
      </c>
      <c r="J261" s="472">
        <f t="shared" si="356"/>
        <v>26</v>
      </c>
      <c r="K261" s="386">
        <f t="shared" si="357"/>
        <v>15.32</v>
      </c>
      <c r="L261" s="386">
        <f t="shared" si="358"/>
        <v>41.32</v>
      </c>
      <c r="M261" s="386"/>
      <c r="N261" s="191">
        <f t="shared" si="359"/>
        <v>0.37076476282671827</v>
      </c>
      <c r="O261" s="152">
        <f t="shared" si="391"/>
        <v>1.574255222808606</v>
      </c>
      <c r="P261" s="152">
        <f t="shared" si="392"/>
        <v>3.4703581800580832</v>
      </c>
      <c r="Q261" s="191">
        <f t="shared" si="362"/>
        <v>0.1049503481872404</v>
      </c>
      <c r="R261" s="191">
        <f t="shared" si="393"/>
        <v>9.8390951425537873E-2</v>
      </c>
      <c r="S261" s="191">
        <f t="shared" si="394"/>
        <v>15</v>
      </c>
      <c r="T261" s="191">
        <f t="shared" si="395"/>
        <v>0.32158063868246634</v>
      </c>
      <c r="U261" s="191">
        <f t="shared" si="366"/>
        <v>0.58131884684907364</v>
      </c>
      <c r="V261" s="191">
        <f t="shared" si="367"/>
        <v>0.98657245548798411</v>
      </c>
      <c r="W261" s="175">
        <f t="shared" si="368"/>
        <v>350</v>
      </c>
      <c r="X261" s="386">
        <f t="shared" si="369"/>
        <v>350</v>
      </c>
      <c r="Z261" s="191">
        <f t="shared" si="370"/>
        <v>0.58601117528843016</v>
      </c>
      <c r="AA261" s="153">
        <f t="shared" si="371"/>
        <v>1.7978149633522333</v>
      </c>
      <c r="AB261" s="153">
        <f t="shared" si="396"/>
        <v>8.9211019565034411E-2</v>
      </c>
      <c r="AC261" s="153"/>
      <c r="AD261" s="153">
        <f t="shared" si="373"/>
        <v>0.46018276762402083</v>
      </c>
      <c r="AE261" s="317">
        <f t="shared" si="397"/>
        <v>1303.8297872340429</v>
      </c>
      <c r="AF261" s="463">
        <f t="shared" si="398"/>
        <v>1.2079797650130546E-2</v>
      </c>
      <c r="AH261" s="153">
        <f t="shared" si="399"/>
        <v>0.41183111007048084</v>
      </c>
      <c r="AI261" s="153">
        <f t="shared" si="400"/>
        <v>0.41183111007048084</v>
      </c>
      <c r="AJ261" s="153">
        <f t="shared" si="401"/>
        <v>1.3939489704225783</v>
      </c>
      <c r="AL261" s="317">
        <f t="shared" si="402"/>
        <v>45.000000000000007</v>
      </c>
      <c r="AM261" s="147">
        <f t="shared" si="403"/>
        <v>350</v>
      </c>
      <c r="AO261">
        <f t="shared" si="381"/>
        <v>45.000000000000007</v>
      </c>
      <c r="AP261">
        <f t="shared" si="382"/>
        <v>350</v>
      </c>
      <c r="AR261" s="5">
        <f t="shared" si="343"/>
        <v>2.8571428571428572</v>
      </c>
      <c r="AS261" s="5">
        <f t="shared" si="385"/>
        <v>0.7444639297427923</v>
      </c>
      <c r="AT261" s="5">
        <f t="shared" si="386"/>
        <v>2.112678927400065</v>
      </c>
      <c r="AU261" s="153">
        <f t="shared" si="387"/>
        <v>0.26056237540997729</v>
      </c>
      <c r="CI261" s="59">
        <f t="shared" si="404"/>
        <v>-50</v>
      </c>
    </row>
    <row r="262" spans="5:87" x14ac:dyDescent="0.25">
      <c r="E262" s="150">
        <v>46</v>
      </c>
      <c r="F262" s="191">
        <f t="shared" si="405"/>
        <v>4.6000000000000006E-2</v>
      </c>
      <c r="G262" s="191">
        <f t="shared" si="388"/>
        <v>4.6000000000000006E-2</v>
      </c>
      <c r="H262" s="191">
        <f t="shared" si="389"/>
        <v>0.69000000000000006</v>
      </c>
      <c r="I262" s="191">
        <f t="shared" si="390"/>
        <v>0.7360000000000001</v>
      </c>
      <c r="J262" s="472">
        <f t="shared" si="356"/>
        <v>26</v>
      </c>
      <c r="K262" s="386">
        <f t="shared" si="357"/>
        <v>15.32</v>
      </c>
      <c r="L262" s="386">
        <f t="shared" si="358"/>
        <v>41.32</v>
      </c>
      <c r="M262" s="386"/>
      <c r="N262" s="191">
        <f t="shared" si="359"/>
        <v>0.37076476282671827</v>
      </c>
      <c r="O262" s="152">
        <f t="shared" si="391"/>
        <v>1.574255222808606</v>
      </c>
      <c r="P262" s="152">
        <f t="shared" si="392"/>
        <v>3.4703581800580832</v>
      </c>
      <c r="Q262" s="191">
        <f t="shared" si="362"/>
        <v>0.1049503481872404</v>
      </c>
      <c r="R262" s="191">
        <f t="shared" si="393"/>
        <v>9.8390951425537873E-2</v>
      </c>
      <c r="S262" s="191">
        <f t="shared" si="394"/>
        <v>15</v>
      </c>
      <c r="T262" s="191">
        <f t="shared" si="395"/>
        <v>0.32872687509763227</v>
      </c>
      <c r="U262" s="191">
        <f t="shared" si="366"/>
        <v>0.59423704344571981</v>
      </c>
      <c r="V262" s="191">
        <f t="shared" si="367"/>
        <v>1.0084962878321615</v>
      </c>
      <c r="W262" s="175">
        <f t="shared" si="368"/>
        <v>350</v>
      </c>
      <c r="X262" s="386">
        <f t="shared" si="369"/>
        <v>350</v>
      </c>
      <c r="Z262" s="191">
        <f t="shared" si="370"/>
        <v>0.58601117528843016</v>
      </c>
      <c r="AA262" s="153">
        <f t="shared" si="371"/>
        <v>1.7978149633522333</v>
      </c>
      <c r="AB262" s="153">
        <f t="shared" si="396"/>
        <v>8.9211019565034411E-2</v>
      </c>
      <c r="AC262" s="153"/>
      <c r="AD262" s="153">
        <f t="shared" si="373"/>
        <v>0.46018276762402083</v>
      </c>
      <c r="AE262" s="317">
        <f t="shared" si="397"/>
        <v>1332.8037825059107</v>
      </c>
      <c r="AF262" s="463">
        <f t="shared" si="398"/>
        <v>1.2079797650130546E-2</v>
      </c>
      <c r="AH262" s="153">
        <f t="shared" si="399"/>
        <v>0.41638186821999207</v>
      </c>
      <c r="AI262" s="153">
        <f t="shared" si="400"/>
        <v>0.41638186821999207</v>
      </c>
      <c r="AJ262" s="153">
        <f t="shared" si="401"/>
        <v>1.3973199023851792</v>
      </c>
      <c r="AL262" s="317">
        <f t="shared" si="402"/>
        <v>46.000000000000007</v>
      </c>
      <c r="AM262" s="147">
        <f t="shared" si="403"/>
        <v>350</v>
      </c>
      <c r="AO262">
        <f t="shared" si="381"/>
        <v>46.000000000000007</v>
      </c>
      <c r="AP262">
        <f t="shared" si="382"/>
        <v>350</v>
      </c>
      <c r="AR262" s="5">
        <f t="shared" si="343"/>
        <v>2.8571428571428572</v>
      </c>
      <c r="AS262" s="5">
        <f t="shared" si="385"/>
        <v>0.75269030024383177</v>
      </c>
      <c r="AT262" s="5">
        <f t="shared" si="386"/>
        <v>2.1044525568990253</v>
      </c>
      <c r="AU262" s="153">
        <f t="shared" si="387"/>
        <v>0.26344160508534109</v>
      </c>
      <c r="CI262" s="59">
        <f t="shared" si="404"/>
        <v>-50</v>
      </c>
    </row>
    <row r="263" spans="5:87" x14ac:dyDescent="0.25">
      <c r="E263" s="150">
        <v>47</v>
      </c>
      <c r="F263" s="191">
        <f t="shared" si="405"/>
        <v>4.7E-2</v>
      </c>
      <c r="G263" s="191">
        <f t="shared" si="388"/>
        <v>4.7E-2</v>
      </c>
      <c r="H263" s="191">
        <f t="shared" si="389"/>
        <v>0.70499999999999996</v>
      </c>
      <c r="I263" s="191">
        <f t="shared" si="390"/>
        <v>0.752</v>
      </c>
      <c r="J263" s="472">
        <f t="shared" si="356"/>
        <v>26</v>
      </c>
      <c r="K263" s="386">
        <f t="shared" si="357"/>
        <v>15.32</v>
      </c>
      <c r="L263" s="386">
        <f t="shared" si="358"/>
        <v>41.32</v>
      </c>
      <c r="M263" s="386"/>
      <c r="N263" s="191">
        <f t="shared" si="359"/>
        <v>0.37076476282671827</v>
      </c>
      <c r="O263" s="152">
        <f t="shared" si="391"/>
        <v>1.574255222808606</v>
      </c>
      <c r="P263" s="152">
        <f t="shared" si="392"/>
        <v>3.4703581800580832</v>
      </c>
      <c r="Q263" s="191">
        <f t="shared" si="362"/>
        <v>0.1049503481872404</v>
      </c>
      <c r="R263" s="191">
        <f t="shared" si="393"/>
        <v>9.8390951425537873E-2</v>
      </c>
      <c r="S263" s="191">
        <f t="shared" si="394"/>
        <v>15</v>
      </c>
      <c r="T263" s="191">
        <f t="shared" si="395"/>
        <v>0.33587311151279814</v>
      </c>
      <c r="U263" s="191">
        <f t="shared" si="366"/>
        <v>0.60715524004236576</v>
      </c>
      <c r="V263" s="191">
        <f t="shared" si="367"/>
        <v>1.0304201201763388</v>
      </c>
      <c r="W263" s="175">
        <f t="shared" si="368"/>
        <v>350</v>
      </c>
      <c r="X263" s="386">
        <f t="shared" si="369"/>
        <v>350</v>
      </c>
      <c r="Z263" s="191">
        <f t="shared" si="370"/>
        <v>0.58601117528843016</v>
      </c>
      <c r="AA263" s="153">
        <f t="shared" si="371"/>
        <v>1.7978149633522333</v>
      </c>
      <c r="AB263" s="153">
        <f t="shared" si="396"/>
        <v>8.9211019565034411E-2</v>
      </c>
      <c r="AC263" s="153"/>
      <c r="AD263" s="153">
        <f t="shared" si="373"/>
        <v>0.46018276762402083</v>
      </c>
      <c r="AE263" s="317">
        <f t="shared" si="397"/>
        <v>1361.7777777777781</v>
      </c>
      <c r="AF263" s="463">
        <f t="shared" si="398"/>
        <v>1.2079797650130546E-2</v>
      </c>
      <c r="AH263" s="153">
        <f t="shared" si="399"/>
        <v>0.42088342464732098</v>
      </c>
      <c r="AI263" s="153">
        <f t="shared" si="400"/>
        <v>0.42088342464732098</v>
      </c>
      <c r="AJ263" s="153">
        <f t="shared" si="401"/>
        <v>1.400654388627645</v>
      </c>
      <c r="AL263" s="317">
        <f t="shared" si="402"/>
        <v>47</v>
      </c>
      <c r="AM263" s="147">
        <f t="shared" si="403"/>
        <v>350</v>
      </c>
      <c r="AO263">
        <f t="shared" si="381"/>
        <v>47</v>
      </c>
      <c r="AP263">
        <f t="shared" si="382"/>
        <v>350</v>
      </c>
      <c r="AR263" s="5">
        <f t="shared" ref="AR263:AR316" si="406">1/AM263*1000</f>
        <v>2.8571428571428572</v>
      </c>
      <c r="AS263" s="5">
        <f t="shared" si="385"/>
        <v>0.76082772917015706</v>
      </c>
      <c r="AT263" s="5">
        <f t="shared" si="386"/>
        <v>2.0963151279727001</v>
      </c>
      <c r="AU263" s="153">
        <f t="shared" si="387"/>
        <v>0.26628970520955497</v>
      </c>
      <c r="CI263" s="59">
        <f t="shared" si="404"/>
        <v>-50</v>
      </c>
    </row>
    <row r="264" spans="5:87" x14ac:dyDescent="0.25">
      <c r="E264" s="150">
        <v>48</v>
      </c>
      <c r="F264" s="191">
        <f t="shared" si="405"/>
        <v>4.8000000000000001E-2</v>
      </c>
      <c r="G264" s="191">
        <f t="shared" si="388"/>
        <v>4.8000000000000001E-2</v>
      </c>
      <c r="H264" s="191">
        <f t="shared" si="389"/>
        <v>0.72</v>
      </c>
      <c r="I264" s="191">
        <f t="shared" si="390"/>
        <v>0.76800000000000002</v>
      </c>
      <c r="J264" s="472">
        <f t="shared" si="356"/>
        <v>26</v>
      </c>
      <c r="K264" s="386">
        <f t="shared" si="357"/>
        <v>15.32</v>
      </c>
      <c r="L264" s="386">
        <f t="shared" si="358"/>
        <v>41.32</v>
      </c>
      <c r="M264" s="386"/>
      <c r="N264" s="191">
        <f t="shared" si="359"/>
        <v>0.37076476282671827</v>
      </c>
      <c r="O264" s="152">
        <f t="shared" si="391"/>
        <v>1.574255222808606</v>
      </c>
      <c r="P264" s="152">
        <f t="shared" si="392"/>
        <v>3.4703581800580832</v>
      </c>
      <c r="Q264" s="191">
        <f t="shared" si="362"/>
        <v>0.1049503481872404</v>
      </c>
      <c r="R264" s="191">
        <f t="shared" si="393"/>
        <v>9.8390951425537873E-2</v>
      </c>
      <c r="S264" s="191">
        <f t="shared" si="394"/>
        <v>15</v>
      </c>
      <c r="T264" s="191">
        <f t="shared" si="395"/>
        <v>0.34301934792796407</v>
      </c>
      <c r="U264" s="191">
        <f t="shared" si="366"/>
        <v>0.62007343663901193</v>
      </c>
      <c r="V264" s="191">
        <f t="shared" si="367"/>
        <v>1.0523439525205165</v>
      </c>
      <c r="W264" s="175">
        <f t="shared" si="368"/>
        <v>350</v>
      </c>
      <c r="X264" s="386">
        <f t="shared" si="369"/>
        <v>350</v>
      </c>
      <c r="Z264" s="191">
        <f t="shared" si="370"/>
        <v>0.58601117528843016</v>
      </c>
      <c r="AA264" s="153">
        <f t="shared" si="371"/>
        <v>1.7978149633522333</v>
      </c>
      <c r="AB264" s="153">
        <f t="shared" si="396"/>
        <v>8.9211019565034411E-2</v>
      </c>
      <c r="AC264" s="153"/>
      <c r="AD264" s="153">
        <f t="shared" si="373"/>
        <v>0.46018276762402083</v>
      </c>
      <c r="AE264" s="317">
        <f t="shared" si="397"/>
        <v>1390.7517730496459</v>
      </c>
      <c r="AF264" s="463">
        <f t="shared" si="398"/>
        <v>1.2079797650130546E-2</v>
      </c>
      <c r="AH264" s="153">
        <f t="shared" si="399"/>
        <v>0.42533734153415625</v>
      </c>
      <c r="AI264" s="153">
        <f t="shared" si="400"/>
        <v>0.42533734153415625</v>
      </c>
      <c r="AJ264" s="153">
        <f t="shared" si="401"/>
        <v>1.4039535863215971</v>
      </c>
      <c r="AL264" s="317">
        <f t="shared" si="402"/>
        <v>48</v>
      </c>
      <c r="AM264" s="147">
        <f t="shared" si="403"/>
        <v>350</v>
      </c>
      <c r="AO264">
        <f t="shared" si="381"/>
        <v>48</v>
      </c>
      <c r="AP264">
        <f t="shared" si="382"/>
        <v>350</v>
      </c>
      <c r="AR264" s="5">
        <f t="shared" si="406"/>
        <v>2.8571428571428572</v>
      </c>
      <c r="AS264" s="5">
        <f t="shared" si="385"/>
        <v>0.76887904046559008</v>
      </c>
      <c r="AT264" s="5">
        <f t="shared" si="386"/>
        <v>2.0882638166772671</v>
      </c>
      <c r="AU264" s="153">
        <f t="shared" si="387"/>
        <v>0.26910766416295651</v>
      </c>
      <c r="CI264" s="59">
        <f t="shared" si="404"/>
        <v>-50</v>
      </c>
    </row>
    <row r="265" spans="5:87" x14ac:dyDescent="0.25">
      <c r="E265" s="150">
        <v>49</v>
      </c>
      <c r="F265" s="191">
        <f t="shared" si="405"/>
        <v>4.9000000000000002E-2</v>
      </c>
      <c r="G265" s="191">
        <f t="shared" si="388"/>
        <v>4.9000000000000002E-2</v>
      </c>
      <c r="H265" s="191">
        <f t="shared" si="389"/>
        <v>0.73499999999999999</v>
      </c>
      <c r="I265" s="191">
        <f t="shared" si="390"/>
        <v>0.78400000000000003</v>
      </c>
      <c r="J265" s="472">
        <f t="shared" si="356"/>
        <v>26</v>
      </c>
      <c r="K265" s="386">
        <f t="shared" si="357"/>
        <v>15.32</v>
      </c>
      <c r="L265" s="386">
        <f t="shared" si="358"/>
        <v>41.32</v>
      </c>
      <c r="M265" s="386"/>
      <c r="N265" s="191">
        <f t="shared" si="359"/>
        <v>0.37076476282671827</v>
      </c>
      <c r="O265" s="152">
        <f t="shared" si="391"/>
        <v>1.574255222808606</v>
      </c>
      <c r="P265" s="152">
        <f t="shared" si="392"/>
        <v>3.4703581800580832</v>
      </c>
      <c r="Q265" s="191">
        <f t="shared" si="362"/>
        <v>0.1049503481872404</v>
      </c>
      <c r="R265" s="191">
        <f t="shared" si="393"/>
        <v>9.8390951425537873E-2</v>
      </c>
      <c r="S265" s="191">
        <f t="shared" si="394"/>
        <v>15</v>
      </c>
      <c r="T265" s="191">
        <f t="shared" si="395"/>
        <v>0.35016558434313005</v>
      </c>
      <c r="U265" s="191">
        <f t="shared" si="366"/>
        <v>0.6329916332356581</v>
      </c>
      <c r="V265" s="191">
        <f t="shared" si="367"/>
        <v>1.0742677848646938</v>
      </c>
      <c r="W265" s="175">
        <f t="shared" si="368"/>
        <v>350</v>
      </c>
      <c r="X265" s="386">
        <f t="shared" si="369"/>
        <v>350</v>
      </c>
      <c r="Z265" s="191">
        <f t="shared" si="370"/>
        <v>0.58601117528843016</v>
      </c>
      <c r="AA265" s="153">
        <f t="shared" si="371"/>
        <v>1.7978149633522333</v>
      </c>
      <c r="AB265" s="153">
        <f t="shared" si="396"/>
        <v>8.9211019565034411E-2</v>
      </c>
      <c r="AC265" s="153"/>
      <c r="AD265" s="153">
        <f t="shared" si="373"/>
        <v>0.46018276762402083</v>
      </c>
      <c r="AE265" s="317">
        <f t="shared" si="397"/>
        <v>1419.7257683215132</v>
      </c>
      <c r="AF265" s="463">
        <f t="shared" si="398"/>
        <v>1.2079797650130546E-2</v>
      </c>
      <c r="AH265" s="153">
        <f t="shared" si="399"/>
        <v>0.42974510010450356</v>
      </c>
      <c r="AI265" s="153">
        <f t="shared" si="400"/>
        <v>0.42974510010450356</v>
      </c>
      <c r="AJ265" s="153">
        <f t="shared" si="401"/>
        <v>1.4072185926700027</v>
      </c>
      <c r="AL265" s="317">
        <f t="shared" si="402"/>
        <v>49</v>
      </c>
      <c r="AM265" s="147">
        <f t="shared" si="403"/>
        <v>350</v>
      </c>
      <c r="AO265">
        <f t="shared" si="381"/>
        <v>49</v>
      </c>
      <c r="AP265">
        <f t="shared" si="382"/>
        <v>350</v>
      </c>
      <c r="AR265" s="5">
        <f t="shared" si="406"/>
        <v>2.8571428571428572</v>
      </c>
      <c r="AS265" s="5">
        <f t="shared" si="385"/>
        <v>0.77684691172737175</v>
      </c>
      <c r="AT265" s="5">
        <f t="shared" si="386"/>
        <v>2.0802959454154855</v>
      </c>
      <c r="AU265" s="153">
        <f t="shared" si="387"/>
        <v>0.27189641910458012</v>
      </c>
      <c r="CI265" s="59">
        <f t="shared" si="404"/>
        <v>-50</v>
      </c>
    </row>
    <row r="266" spans="5:87" x14ac:dyDescent="0.25">
      <c r="E266" s="150">
        <v>50</v>
      </c>
      <c r="F266" s="191">
        <f t="shared" si="405"/>
        <v>0.05</v>
      </c>
      <c r="G266" s="191">
        <f t="shared" si="388"/>
        <v>0.05</v>
      </c>
      <c r="H266" s="191">
        <f t="shared" si="389"/>
        <v>0.75</v>
      </c>
      <c r="I266" s="191">
        <f t="shared" si="390"/>
        <v>0.8</v>
      </c>
      <c r="J266" s="472">
        <f t="shared" si="356"/>
        <v>26</v>
      </c>
      <c r="K266" s="386">
        <f t="shared" si="357"/>
        <v>15.32</v>
      </c>
      <c r="L266" s="386">
        <f t="shared" si="358"/>
        <v>41.32</v>
      </c>
      <c r="M266" s="386"/>
      <c r="N266" s="191">
        <f t="shared" si="359"/>
        <v>0.37076476282671827</v>
      </c>
      <c r="O266" s="152">
        <f t="shared" si="391"/>
        <v>1.574255222808606</v>
      </c>
      <c r="P266" s="152">
        <f t="shared" si="392"/>
        <v>3.4703581800580832</v>
      </c>
      <c r="Q266" s="191">
        <f t="shared" si="362"/>
        <v>0.1049503481872404</v>
      </c>
      <c r="R266" s="191">
        <f t="shared" si="393"/>
        <v>9.8390951425537873E-2</v>
      </c>
      <c r="S266" s="191">
        <f t="shared" si="394"/>
        <v>15</v>
      </c>
      <c r="T266" s="191">
        <f t="shared" si="395"/>
        <v>0.35731182075829593</v>
      </c>
      <c r="U266" s="191">
        <f t="shared" si="366"/>
        <v>0.64590982983230416</v>
      </c>
      <c r="V266" s="191">
        <f t="shared" si="367"/>
        <v>1.096191617208871</v>
      </c>
      <c r="W266" s="175">
        <f t="shared" si="368"/>
        <v>350</v>
      </c>
      <c r="X266" s="386">
        <f t="shared" si="369"/>
        <v>350</v>
      </c>
      <c r="Z266" s="191">
        <f t="shared" si="370"/>
        <v>0.58601117528843016</v>
      </c>
      <c r="AA266" s="153">
        <f t="shared" si="371"/>
        <v>1.7978149633522333</v>
      </c>
      <c r="AB266" s="153">
        <f t="shared" si="396"/>
        <v>8.9211019565034411E-2</v>
      </c>
      <c r="AC266" s="153"/>
      <c r="AD266" s="153">
        <f t="shared" si="373"/>
        <v>0.46018276762402083</v>
      </c>
      <c r="AE266" s="317">
        <f t="shared" si="397"/>
        <v>1448.699763593381</v>
      </c>
      <c r="AF266" s="463">
        <f t="shared" si="398"/>
        <v>1.2079797650130546E-2</v>
      </c>
      <c r="AH266" s="153">
        <f t="shared" si="399"/>
        <v>0.43410810637940883</v>
      </c>
      <c r="AI266" s="153">
        <f t="shared" si="400"/>
        <v>0.43410810637940883</v>
      </c>
      <c r="AJ266" s="153">
        <f t="shared" si="401"/>
        <v>1.4104504491699323</v>
      </c>
      <c r="AL266" s="317">
        <f t="shared" si="402"/>
        <v>50</v>
      </c>
      <c r="AM266" s="147">
        <f t="shared" si="403"/>
        <v>350</v>
      </c>
      <c r="AO266">
        <f t="shared" si="381"/>
        <v>50</v>
      </c>
      <c r="AP266">
        <f t="shared" si="382"/>
        <v>350</v>
      </c>
      <c r="AR266" s="5">
        <f t="shared" si="406"/>
        <v>2.8571428571428572</v>
      </c>
      <c r="AS266" s="5">
        <f t="shared" si="385"/>
        <v>0.78473388460893134</v>
      </c>
      <c r="AT266" s="5">
        <f t="shared" si="386"/>
        <v>2.0724089725339256</v>
      </c>
      <c r="AU266" s="153">
        <f t="shared" si="387"/>
        <v>0.27465685961312597</v>
      </c>
      <c r="CI266" s="59">
        <f t="shared" si="404"/>
        <v>-50</v>
      </c>
    </row>
    <row r="267" spans="5:87" x14ac:dyDescent="0.25">
      <c r="E267" s="150">
        <v>51</v>
      </c>
      <c r="F267" s="191">
        <f t="shared" si="405"/>
        <v>5.1000000000000004E-2</v>
      </c>
      <c r="G267" s="191">
        <f t="shared" si="388"/>
        <v>5.1000000000000004E-2</v>
      </c>
      <c r="H267" s="191">
        <f t="shared" si="389"/>
        <v>0.76500000000000001</v>
      </c>
      <c r="I267" s="191">
        <f t="shared" si="390"/>
        <v>0.81600000000000006</v>
      </c>
      <c r="J267" s="472">
        <f t="shared" si="356"/>
        <v>26</v>
      </c>
      <c r="K267" s="386">
        <f t="shared" si="357"/>
        <v>15.32</v>
      </c>
      <c r="L267" s="386">
        <f t="shared" si="358"/>
        <v>41.32</v>
      </c>
      <c r="M267" s="386"/>
      <c r="N267" s="191">
        <f t="shared" si="359"/>
        <v>0.37076476282671827</v>
      </c>
      <c r="O267" s="152">
        <f t="shared" si="391"/>
        <v>1.574255222808606</v>
      </c>
      <c r="P267" s="152">
        <f t="shared" si="392"/>
        <v>3.4703581800580832</v>
      </c>
      <c r="Q267" s="191">
        <f t="shared" si="362"/>
        <v>0.1049503481872404</v>
      </c>
      <c r="R267" s="191">
        <f t="shared" si="393"/>
        <v>9.8390951425537873E-2</v>
      </c>
      <c r="S267" s="191">
        <f t="shared" si="394"/>
        <v>15</v>
      </c>
      <c r="T267" s="191">
        <f t="shared" si="395"/>
        <v>0.36445805717346186</v>
      </c>
      <c r="U267" s="191">
        <f t="shared" si="366"/>
        <v>0.65882802642895022</v>
      </c>
      <c r="V267" s="191">
        <f t="shared" si="367"/>
        <v>1.1181154495530488</v>
      </c>
      <c r="W267" s="175">
        <f t="shared" si="368"/>
        <v>350</v>
      </c>
      <c r="X267" s="386">
        <f t="shared" si="369"/>
        <v>350</v>
      </c>
      <c r="Z267" s="191">
        <f t="shared" si="370"/>
        <v>0.58601117528843016</v>
      </c>
      <c r="AA267" s="153">
        <f t="shared" si="371"/>
        <v>1.7978149633522333</v>
      </c>
      <c r="AB267" s="153">
        <f t="shared" si="396"/>
        <v>8.9211019565034411E-2</v>
      </c>
      <c r="AC267" s="153"/>
      <c r="AD267" s="153">
        <f t="shared" si="373"/>
        <v>0.46018276762402083</v>
      </c>
      <c r="AE267" s="317">
        <f t="shared" si="397"/>
        <v>1477.6737588652486</v>
      </c>
      <c r="AF267" s="463">
        <f t="shared" si="398"/>
        <v>1.2079797650130546E-2</v>
      </c>
      <c r="AH267" s="153">
        <f t="shared" si="399"/>
        <v>0.43842769641618495</v>
      </c>
      <c r="AI267" s="153">
        <f t="shared" si="400"/>
        <v>0.43842769641618495</v>
      </c>
      <c r="AJ267" s="153">
        <f t="shared" si="401"/>
        <v>1.4136501454934702</v>
      </c>
      <c r="AL267" s="317">
        <f t="shared" si="402"/>
        <v>51.000000000000007</v>
      </c>
      <c r="AM267" s="147">
        <f t="shared" si="403"/>
        <v>350</v>
      </c>
      <c r="AO267">
        <f t="shared" si="381"/>
        <v>51.000000000000007</v>
      </c>
      <c r="AP267">
        <f t="shared" si="382"/>
        <v>350</v>
      </c>
      <c r="AR267" s="5">
        <f t="shared" si="406"/>
        <v>2.8571428571428572</v>
      </c>
      <c r="AS267" s="5">
        <f t="shared" si="385"/>
        <v>0.79254237429079588</v>
      </c>
      <c r="AT267" s="5">
        <f t="shared" si="386"/>
        <v>2.0646004828520614</v>
      </c>
      <c r="AU267" s="153">
        <f t="shared" si="387"/>
        <v>0.27738983100177855</v>
      </c>
      <c r="CI267" s="59">
        <f t="shared" si="404"/>
        <v>-50</v>
      </c>
    </row>
    <row r="268" spans="5:87" x14ac:dyDescent="0.25">
      <c r="E268" s="150">
        <v>52</v>
      </c>
      <c r="F268" s="191">
        <f t="shared" si="405"/>
        <v>5.2000000000000005E-2</v>
      </c>
      <c r="G268" s="191">
        <f t="shared" si="388"/>
        <v>5.2000000000000005E-2</v>
      </c>
      <c r="H268" s="191">
        <f t="shared" si="389"/>
        <v>0.78</v>
      </c>
      <c r="I268" s="191">
        <f t="shared" si="390"/>
        <v>0.83200000000000007</v>
      </c>
      <c r="J268" s="472">
        <f t="shared" si="356"/>
        <v>26</v>
      </c>
      <c r="K268" s="386">
        <f t="shared" si="357"/>
        <v>15.32</v>
      </c>
      <c r="L268" s="386">
        <f t="shared" si="358"/>
        <v>41.32</v>
      </c>
      <c r="M268" s="386"/>
      <c r="N268" s="191">
        <f t="shared" si="359"/>
        <v>0.37076476282671827</v>
      </c>
      <c r="O268" s="152">
        <f t="shared" si="391"/>
        <v>1.574255222808606</v>
      </c>
      <c r="P268" s="152">
        <f t="shared" si="392"/>
        <v>3.4703581800580832</v>
      </c>
      <c r="Q268" s="191">
        <f t="shared" si="362"/>
        <v>0.1049503481872404</v>
      </c>
      <c r="R268" s="191">
        <f t="shared" si="393"/>
        <v>9.8390951425537873E-2</v>
      </c>
      <c r="S268" s="191">
        <f t="shared" si="394"/>
        <v>15</v>
      </c>
      <c r="T268" s="191">
        <f t="shared" si="395"/>
        <v>0.37160429358862779</v>
      </c>
      <c r="U268" s="191">
        <f t="shared" si="366"/>
        <v>0.67174622302559639</v>
      </c>
      <c r="V268" s="191">
        <f t="shared" si="367"/>
        <v>1.1400392818972263</v>
      </c>
      <c r="W268" s="175">
        <f t="shared" si="368"/>
        <v>350</v>
      </c>
      <c r="X268" s="386">
        <f t="shared" si="369"/>
        <v>350</v>
      </c>
      <c r="Z268" s="191">
        <f t="shared" si="370"/>
        <v>0.58601117528843016</v>
      </c>
      <c r="AA268" s="153">
        <f t="shared" si="371"/>
        <v>1.7978149633522333</v>
      </c>
      <c r="AB268" s="153">
        <f t="shared" si="396"/>
        <v>8.9211019565034411E-2</v>
      </c>
      <c r="AC268" s="153"/>
      <c r="AD268" s="153">
        <f t="shared" si="373"/>
        <v>0.46018276762402083</v>
      </c>
      <c r="AE268" s="317">
        <f t="shared" si="397"/>
        <v>1506.6477541371162</v>
      </c>
      <c r="AF268" s="463">
        <f t="shared" si="398"/>
        <v>1.2079797650130546E-2</v>
      </c>
      <c r="AH268" s="153">
        <f t="shared" si="399"/>
        <v>0.44270514108748366</v>
      </c>
      <c r="AI268" s="153">
        <f t="shared" si="400"/>
        <v>0.44270514108748366</v>
      </c>
      <c r="AJ268" s="153">
        <f t="shared" si="401"/>
        <v>1.4168186230277657</v>
      </c>
      <c r="AL268" s="317">
        <f t="shared" si="402"/>
        <v>52.000000000000007</v>
      </c>
      <c r="AM268" s="147">
        <f t="shared" si="403"/>
        <v>350</v>
      </c>
      <c r="AO268">
        <f t="shared" si="381"/>
        <v>52.000000000000007</v>
      </c>
      <c r="AP268">
        <f t="shared" si="382"/>
        <v>350</v>
      </c>
      <c r="AR268" s="5">
        <f t="shared" si="406"/>
        <v>2.8571428571428572</v>
      </c>
      <c r="AS268" s="5">
        <f t="shared" si="385"/>
        <v>0.800274678119682</v>
      </c>
      <c r="AT268" s="5">
        <f t="shared" si="386"/>
        <v>2.0568681790231751</v>
      </c>
      <c r="AU268" s="153">
        <f t="shared" si="387"/>
        <v>0.28009613734188871</v>
      </c>
      <c r="CI268" s="59">
        <f t="shared" si="404"/>
        <v>-50</v>
      </c>
    </row>
    <row r="269" spans="5:87" x14ac:dyDescent="0.25">
      <c r="E269" s="150">
        <v>53</v>
      </c>
      <c r="F269" s="191">
        <f t="shared" si="405"/>
        <v>5.3000000000000005E-2</v>
      </c>
      <c r="G269" s="191">
        <f t="shared" si="388"/>
        <v>5.3000000000000005E-2</v>
      </c>
      <c r="H269" s="191">
        <f t="shared" si="389"/>
        <v>0.79500000000000004</v>
      </c>
      <c r="I269" s="191">
        <f t="shared" si="390"/>
        <v>0.84800000000000009</v>
      </c>
      <c r="J269" s="472">
        <f t="shared" si="356"/>
        <v>26</v>
      </c>
      <c r="K269" s="386">
        <f t="shared" si="357"/>
        <v>15.32</v>
      </c>
      <c r="L269" s="386">
        <f t="shared" si="358"/>
        <v>41.32</v>
      </c>
      <c r="M269" s="386"/>
      <c r="N269" s="191">
        <f t="shared" si="359"/>
        <v>0.37076476282671827</v>
      </c>
      <c r="O269" s="152">
        <f t="shared" si="391"/>
        <v>1.574255222808606</v>
      </c>
      <c r="P269" s="152">
        <f t="shared" si="392"/>
        <v>3.4703581800580832</v>
      </c>
      <c r="Q269" s="191">
        <f t="shared" si="362"/>
        <v>0.1049503481872404</v>
      </c>
      <c r="R269" s="191">
        <f t="shared" si="393"/>
        <v>9.8390951425537873E-2</v>
      </c>
      <c r="S269" s="191">
        <f t="shared" si="394"/>
        <v>15</v>
      </c>
      <c r="T269" s="191">
        <f t="shared" si="395"/>
        <v>0.37875053000379372</v>
      </c>
      <c r="U269" s="191">
        <f t="shared" si="366"/>
        <v>0.68466441962224234</v>
      </c>
      <c r="V269" s="191">
        <f t="shared" si="367"/>
        <v>1.1619631142414033</v>
      </c>
      <c r="W269" s="175">
        <f t="shared" si="368"/>
        <v>350</v>
      </c>
      <c r="X269" s="386">
        <f t="shared" si="369"/>
        <v>350</v>
      </c>
      <c r="Z269" s="191">
        <f t="shared" si="370"/>
        <v>0.58601117528843016</v>
      </c>
      <c r="AA269" s="153">
        <f t="shared" si="371"/>
        <v>1.7978149633522333</v>
      </c>
      <c r="AB269" s="153">
        <f t="shared" si="396"/>
        <v>8.9211019565034411E-2</v>
      </c>
      <c r="AC269" s="153"/>
      <c r="AD269" s="153">
        <f t="shared" si="373"/>
        <v>0.46018276762402083</v>
      </c>
      <c r="AE269" s="317">
        <f t="shared" si="397"/>
        <v>1535.621749408984</v>
      </c>
      <c r="AF269" s="463">
        <f t="shared" si="398"/>
        <v>1.2079797650130546E-2</v>
      </c>
      <c r="AH269" s="153">
        <f t="shared" si="399"/>
        <v>0.4469416504486633</v>
      </c>
      <c r="AI269" s="153">
        <f t="shared" si="400"/>
        <v>0.4469416504486633</v>
      </c>
      <c r="AJ269" s="153">
        <f t="shared" si="401"/>
        <v>1.4199567781101208</v>
      </c>
      <c r="AL269" s="317">
        <f t="shared" si="402"/>
        <v>53.000000000000007</v>
      </c>
      <c r="AM269" s="147">
        <f t="shared" si="403"/>
        <v>350</v>
      </c>
      <c r="AO269">
        <f t="shared" si="381"/>
        <v>53.000000000000007</v>
      </c>
      <c r="AP269">
        <f t="shared" si="382"/>
        <v>350</v>
      </c>
      <c r="AR269" s="5">
        <f t="shared" si="406"/>
        <v>2.8571428571428572</v>
      </c>
      <c r="AS269" s="5">
        <f t="shared" si="385"/>
        <v>0.80793298350335285</v>
      </c>
      <c r="AT269" s="5">
        <f t="shared" si="386"/>
        <v>2.0492098736395041</v>
      </c>
      <c r="AU269" s="153">
        <f t="shared" si="387"/>
        <v>0.28277654422617349</v>
      </c>
      <c r="CI269" s="59">
        <f t="shared" si="404"/>
        <v>-50</v>
      </c>
    </row>
    <row r="270" spans="5:87" x14ac:dyDescent="0.25">
      <c r="E270" s="150">
        <v>54</v>
      </c>
      <c r="F270" s="191">
        <f t="shared" si="405"/>
        <v>5.4000000000000006E-2</v>
      </c>
      <c r="G270" s="191">
        <f t="shared" si="388"/>
        <v>5.4000000000000006E-2</v>
      </c>
      <c r="H270" s="191">
        <f t="shared" si="389"/>
        <v>0.81</v>
      </c>
      <c r="I270" s="191">
        <f t="shared" si="390"/>
        <v>0.8640000000000001</v>
      </c>
      <c r="J270" s="472">
        <f t="shared" si="356"/>
        <v>26</v>
      </c>
      <c r="K270" s="386">
        <f t="shared" si="357"/>
        <v>15.32</v>
      </c>
      <c r="L270" s="386">
        <f t="shared" si="358"/>
        <v>41.32</v>
      </c>
      <c r="M270" s="386"/>
      <c r="N270" s="191">
        <f t="shared" si="359"/>
        <v>0.37076476282671827</v>
      </c>
      <c r="O270" s="152">
        <f t="shared" si="391"/>
        <v>1.574255222808606</v>
      </c>
      <c r="P270" s="152">
        <f t="shared" si="392"/>
        <v>3.4703581800580832</v>
      </c>
      <c r="Q270" s="191">
        <f t="shared" si="362"/>
        <v>0.1049503481872404</v>
      </c>
      <c r="R270" s="191">
        <f t="shared" si="393"/>
        <v>9.8390951425537873E-2</v>
      </c>
      <c r="S270" s="191">
        <f t="shared" si="394"/>
        <v>15</v>
      </c>
      <c r="T270" s="191">
        <f t="shared" si="395"/>
        <v>0.38589676641895965</v>
      </c>
      <c r="U270" s="191">
        <f t="shared" si="366"/>
        <v>0.69758261621888851</v>
      </c>
      <c r="V270" s="191">
        <f t="shared" si="367"/>
        <v>1.183886946585581</v>
      </c>
      <c r="W270" s="175">
        <f t="shared" si="368"/>
        <v>350</v>
      </c>
      <c r="X270" s="386">
        <f t="shared" si="369"/>
        <v>350</v>
      </c>
      <c r="Z270" s="191">
        <f t="shared" si="370"/>
        <v>0.58601117528843016</v>
      </c>
      <c r="AA270" s="153">
        <f t="shared" si="371"/>
        <v>1.7978149633522333</v>
      </c>
      <c r="AB270" s="153">
        <f t="shared" si="396"/>
        <v>8.9211019565034411E-2</v>
      </c>
      <c r="AC270" s="153"/>
      <c r="AD270" s="153">
        <f t="shared" si="373"/>
        <v>0.46018276762402083</v>
      </c>
      <c r="AE270" s="317">
        <f t="shared" si="397"/>
        <v>1564.5957446808518</v>
      </c>
      <c r="AF270" s="463">
        <f t="shared" si="398"/>
        <v>1.2079797650130546E-2</v>
      </c>
      <c r="AH270" s="153">
        <f t="shared" si="399"/>
        <v>0.45113837773599069</v>
      </c>
      <c r="AI270" s="153">
        <f t="shared" si="400"/>
        <v>0.45113837773599069</v>
      </c>
      <c r="AJ270" s="153">
        <f t="shared" si="401"/>
        <v>1.4230654649896226</v>
      </c>
      <c r="AL270" s="317">
        <f t="shared" si="402"/>
        <v>54.000000000000007</v>
      </c>
      <c r="AM270" s="147">
        <f t="shared" si="403"/>
        <v>350</v>
      </c>
      <c r="AO270">
        <f t="shared" si="381"/>
        <v>54.000000000000007</v>
      </c>
      <c r="AP270">
        <f t="shared" si="382"/>
        <v>350</v>
      </c>
      <c r="AR270" s="5">
        <f t="shared" si="406"/>
        <v>2.8571428571428572</v>
      </c>
      <c r="AS270" s="5">
        <f t="shared" si="385"/>
        <v>0.81551937513813699</v>
      </c>
      <c r="AT270" s="5">
        <f t="shared" si="386"/>
        <v>2.0416234820047201</v>
      </c>
      <c r="AU270" s="153">
        <f t="shared" si="387"/>
        <v>0.28543178129834795</v>
      </c>
      <c r="CI270" s="59">
        <f t="shared" si="404"/>
        <v>-50</v>
      </c>
    </row>
    <row r="271" spans="5:87" x14ac:dyDescent="0.25">
      <c r="E271" s="150">
        <v>55</v>
      </c>
      <c r="F271" s="191">
        <f t="shared" si="405"/>
        <v>5.5000000000000007E-2</v>
      </c>
      <c r="G271" s="191">
        <f t="shared" si="388"/>
        <v>5.5000000000000007E-2</v>
      </c>
      <c r="H271" s="191">
        <f t="shared" si="389"/>
        <v>0.82500000000000007</v>
      </c>
      <c r="I271" s="191">
        <f t="shared" si="390"/>
        <v>0.88000000000000012</v>
      </c>
      <c r="J271" s="472">
        <f t="shared" si="356"/>
        <v>26</v>
      </c>
      <c r="K271" s="386">
        <f t="shared" si="357"/>
        <v>15.32</v>
      </c>
      <c r="L271" s="386">
        <f t="shared" si="358"/>
        <v>41.32</v>
      </c>
      <c r="M271" s="386"/>
      <c r="N271" s="191">
        <f t="shared" si="359"/>
        <v>0.37076476282671827</v>
      </c>
      <c r="O271" s="152">
        <f t="shared" si="391"/>
        <v>1.574255222808606</v>
      </c>
      <c r="P271" s="152">
        <f t="shared" si="392"/>
        <v>3.4703581800580832</v>
      </c>
      <c r="Q271" s="191">
        <f t="shared" si="362"/>
        <v>0.1049503481872404</v>
      </c>
      <c r="R271" s="191">
        <f t="shared" si="393"/>
        <v>9.8390951425537873E-2</v>
      </c>
      <c r="S271" s="191">
        <f t="shared" si="394"/>
        <v>15</v>
      </c>
      <c r="T271" s="191">
        <f t="shared" si="395"/>
        <v>0.39304300283412552</v>
      </c>
      <c r="U271" s="191">
        <f t="shared" si="366"/>
        <v>0.71050081281553457</v>
      </c>
      <c r="V271" s="191">
        <f t="shared" si="367"/>
        <v>1.2058107789297583</v>
      </c>
      <c r="W271" s="175">
        <f t="shared" si="368"/>
        <v>350</v>
      </c>
      <c r="X271" s="386">
        <f t="shared" si="369"/>
        <v>350</v>
      </c>
      <c r="Z271" s="191">
        <f t="shared" si="370"/>
        <v>0.58601117528843016</v>
      </c>
      <c r="AA271" s="153">
        <f t="shared" si="371"/>
        <v>1.7978149633522333</v>
      </c>
      <c r="AB271" s="153">
        <f t="shared" si="396"/>
        <v>8.9211019565034411E-2</v>
      </c>
      <c r="AC271" s="153"/>
      <c r="AD271" s="153">
        <f t="shared" si="373"/>
        <v>0.46018276762402083</v>
      </c>
      <c r="AE271" s="317">
        <f t="shared" si="397"/>
        <v>1593.5697399527191</v>
      </c>
      <c r="AF271" s="463">
        <f t="shared" si="398"/>
        <v>1.2079797650130546E-2</v>
      </c>
      <c r="AH271" s="153">
        <f t="shared" si="399"/>
        <v>0.45529642303311341</v>
      </c>
      <c r="AI271" s="153">
        <f t="shared" si="400"/>
        <v>0.45529642303311341</v>
      </c>
      <c r="AJ271" s="153">
        <f t="shared" si="401"/>
        <v>1.4261454985430468</v>
      </c>
      <c r="AL271" s="317">
        <f t="shared" si="402"/>
        <v>55.000000000000007</v>
      </c>
      <c r="AM271" s="147">
        <f t="shared" si="403"/>
        <v>350</v>
      </c>
      <c r="AO271">
        <f t="shared" si="381"/>
        <v>55.000000000000007</v>
      </c>
      <c r="AP271">
        <f t="shared" si="382"/>
        <v>350</v>
      </c>
      <c r="AR271" s="5">
        <f t="shared" si="406"/>
        <v>2.8571428571428572</v>
      </c>
      <c r="AS271" s="5">
        <f t="shared" si="385"/>
        <v>0.82303584163678178</v>
      </c>
      <c r="AT271" s="5">
        <f t="shared" si="386"/>
        <v>2.0341070155060752</v>
      </c>
      <c r="AU271" s="153">
        <f t="shared" si="387"/>
        <v>0.28806254457287361</v>
      </c>
      <c r="CI271" s="59">
        <f t="shared" si="404"/>
        <v>-50</v>
      </c>
    </row>
    <row r="272" spans="5:87" x14ac:dyDescent="0.25">
      <c r="E272" s="150">
        <v>56</v>
      </c>
      <c r="F272" s="191">
        <f t="shared" si="405"/>
        <v>5.6000000000000008E-2</v>
      </c>
      <c r="G272" s="191">
        <f t="shared" si="388"/>
        <v>5.6000000000000008E-2</v>
      </c>
      <c r="H272" s="191">
        <f t="shared" si="389"/>
        <v>0.84000000000000008</v>
      </c>
      <c r="I272" s="191">
        <f t="shared" si="390"/>
        <v>0.89600000000000013</v>
      </c>
      <c r="J272" s="472">
        <f t="shared" si="356"/>
        <v>26</v>
      </c>
      <c r="K272" s="386">
        <f t="shared" si="357"/>
        <v>15.32</v>
      </c>
      <c r="L272" s="386">
        <f t="shared" si="358"/>
        <v>41.32</v>
      </c>
      <c r="M272" s="386"/>
      <c r="N272" s="191">
        <f t="shared" si="359"/>
        <v>0.37076476282671827</v>
      </c>
      <c r="O272" s="152">
        <f t="shared" si="391"/>
        <v>1.574255222808606</v>
      </c>
      <c r="P272" s="152">
        <f t="shared" si="392"/>
        <v>3.4703581800580832</v>
      </c>
      <c r="Q272" s="191">
        <f t="shared" si="362"/>
        <v>0.1049503481872404</v>
      </c>
      <c r="R272" s="191">
        <f t="shared" si="393"/>
        <v>9.8390951425537873E-2</v>
      </c>
      <c r="S272" s="191">
        <f t="shared" si="394"/>
        <v>15</v>
      </c>
      <c r="T272" s="191">
        <f t="shared" si="395"/>
        <v>0.40018923924929151</v>
      </c>
      <c r="U272" s="191">
        <f t="shared" si="366"/>
        <v>0.72341900941218085</v>
      </c>
      <c r="V272" s="191">
        <f t="shared" si="367"/>
        <v>1.2277346112739362</v>
      </c>
      <c r="W272" s="175">
        <f t="shared" si="368"/>
        <v>350</v>
      </c>
      <c r="X272" s="386">
        <f t="shared" si="369"/>
        <v>350</v>
      </c>
      <c r="Z272" s="191">
        <f t="shared" si="370"/>
        <v>0.58601117528843016</v>
      </c>
      <c r="AA272" s="153">
        <f t="shared" si="371"/>
        <v>1.7978149633522333</v>
      </c>
      <c r="AB272" s="153">
        <f t="shared" si="396"/>
        <v>8.9211019565034411E-2</v>
      </c>
      <c r="AC272" s="153"/>
      <c r="AD272" s="153">
        <f t="shared" si="373"/>
        <v>0.46018276762402083</v>
      </c>
      <c r="AE272" s="317">
        <f t="shared" si="397"/>
        <v>1622.543735224587</v>
      </c>
      <c r="AF272" s="463">
        <f t="shared" si="398"/>
        <v>1.2079797650130546E-2</v>
      </c>
      <c r="AH272" s="153">
        <f t="shared" si="399"/>
        <v>0.45941683663883509</v>
      </c>
      <c r="AI272" s="153">
        <f t="shared" si="400"/>
        <v>0.45941683663883509</v>
      </c>
      <c r="AJ272" s="153">
        <f t="shared" si="401"/>
        <v>1.4291976567695075</v>
      </c>
      <c r="AL272" s="317">
        <f t="shared" si="402"/>
        <v>56.000000000000007</v>
      </c>
      <c r="AM272" s="147">
        <f t="shared" si="403"/>
        <v>350</v>
      </c>
      <c r="AO272">
        <f t="shared" si="381"/>
        <v>56.000000000000007</v>
      </c>
      <c r="AP272">
        <f t="shared" si="382"/>
        <v>350</v>
      </c>
      <c r="AR272" s="5">
        <f t="shared" si="406"/>
        <v>2.8571428571428572</v>
      </c>
      <c r="AS272" s="5">
        <f t="shared" si="385"/>
        <v>0.83048428161635579</v>
      </c>
      <c r="AT272" s="5">
        <f t="shared" si="386"/>
        <v>2.0266585755265014</v>
      </c>
      <c r="AU272" s="153">
        <f t="shared" si="387"/>
        <v>0.29066949856572449</v>
      </c>
      <c r="CI272" s="59">
        <f t="shared" si="404"/>
        <v>-50</v>
      </c>
    </row>
    <row r="273" spans="5:87" x14ac:dyDescent="0.25">
      <c r="E273" s="150">
        <v>57</v>
      </c>
      <c r="F273" s="191">
        <f t="shared" si="405"/>
        <v>5.6999999999999995E-2</v>
      </c>
      <c r="G273" s="191">
        <f t="shared" si="388"/>
        <v>5.6999999999999995E-2</v>
      </c>
      <c r="H273" s="191">
        <f t="shared" si="389"/>
        <v>0.85499999999999998</v>
      </c>
      <c r="I273" s="191">
        <f t="shared" si="390"/>
        <v>0.91199999999999992</v>
      </c>
      <c r="J273" s="472">
        <f t="shared" si="356"/>
        <v>26</v>
      </c>
      <c r="K273" s="386">
        <f t="shared" si="357"/>
        <v>15.32</v>
      </c>
      <c r="L273" s="386">
        <f t="shared" si="358"/>
        <v>41.32</v>
      </c>
      <c r="M273" s="386"/>
      <c r="N273" s="191">
        <f t="shared" si="359"/>
        <v>0.37076476282671827</v>
      </c>
      <c r="O273" s="152">
        <f t="shared" si="391"/>
        <v>1.574255222808606</v>
      </c>
      <c r="P273" s="152">
        <f t="shared" si="392"/>
        <v>3.4703581800580832</v>
      </c>
      <c r="Q273" s="191">
        <f t="shared" si="362"/>
        <v>0.1049503481872404</v>
      </c>
      <c r="R273" s="191">
        <f t="shared" si="393"/>
        <v>9.8390951425537873E-2</v>
      </c>
      <c r="S273" s="191">
        <f t="shared" si="394"/>
        <v>15</v>
      </c>
      <c r="T273" s="191">
        <f t="shared" si="395"/>
        <v>0.40733547566445732</v>
      </c>
      <c r="U273" s="191">
        <f t="shared" si="366"/>
        <v>0.73633720600882668</v>
      </c>
      <c r="V273" s="191">
        <f t="shared" si="367"/>
        <v>1.2496584436181133</v>
      </c>
      <c r="W273" s="175">
        <f t="shared" si="368"/>
        <v>350</v>
      </c>
      <c r="X273" s="386">
        <f t="shared" si="369"/>
        <v>350</v>
      </c>
      <c r="Z273" s="191">
        <f t="shared" si="370"/>
        <v>0.58601117528843016</v>
      </c>
      <c r="AA273" s="153">
        <f t="shared" si="371"/>
        <v>1.7978149633522333</v>
      </c>
      <c r="AB273" s="153">
        <f t="shared" si="396"/>
        <v>8.9211019565034411E-2</v>
      </c>
      <c r="AC273" s="153"/>
      <c r="AD273" s="153">
        <f t="shared" si="373"/>
        <v>0.46018276762402083</v>
      </c>
      <c r="AE273" s="317">
        <f t="shared" si="397"/>
        <v>1651.5177304964539</v>
      </c>
      <c r="AF273" s="463">
        <f t="shared" si="398"/>
        <v>1.2079797650130546E-2</v>
      </c>
      <c r="AH273" s="153">
        <f t="shared" si="399"/>
        <v>0.46350062216540805</v>
      </c>
      <c r="AI273" s="153">
        <f t="shared" si="400"/>
        <v>0.46350062216540805</v>
      </c>
      <c r="AJ273" s="153">
        <f t="shared" si="401"/>
        <v>1.4322226830854874</v>
      </c>
      <c r="AL273" s="317">
        <f t="shared" si="402"/>
        <v>56.999999999999993</v>
      </c>
      <c r="AM273" s="147">
        <f t="shared" si="403"/>
        <v>350</v>
      </c>
      <c r="AO273">
        <f t="shared" si="381"/>
        <v>56.999999999999993</v>
      </c>
      <c r="AP273">
        <f t="shared" si="382"/>
        <v>350</v>
      </c>
      <c r="AR273" s="5">
        <f t="shared" si="406"/>
        <v>2.8571428571428572</v>
      </c>
      <c r="AS273" s="5">
        <f t="shared" si="385"/>
        <v>0.83786650929900686</v>
      </c>
      <c r="AT273" s="5">
        <f t="shared" si="386"/>
        <v>2.0192763478438502</v>
      </c>
      <c r="AU273" s="153">
        <f t="shared" si="387"/>
        <v>0.29325327825465242</v>
      </c>
      <c r="CI273" s="59">
        <f t="shared" si="404"/>
        <v>-50</v>
      </c>
    </row>
    <row r="274" spans="5:87" x14ac:dyDescent="0.25">
      <c r="E274" s="150">
        <v>58</v>
      </c>
      <c r="F274" s="191">
        <f t="shared" si="405"/>
        <v>5.7999999999999996E-2</v>
      </c>
      <c r="G274" s="191">
        <f t="shared" si="388"/>
        <v>5.7999999999999996E-2</v>
      </c>
      <c r="H274" s="191">
        <f t="shared" si="389"/>
        <v>0.86999999999999988</v>
      </c>
      <c r="I274" s="191">
        <f t="shared" si="390"/>
        <v>0.92799999999999994</v>
      </c>
      <c r="J274" s="472">
        <f t="shared" si="356"/>
        <v>26</v>
      </c>
      <c r="K274" s="386">
        <f t="shared" si="357"/>
        <v>15.32</v>
      </c>
      <c r="L274" s="386">
        <f t="shared" si="358"/>
        <v>41.32</v>
      </c>
      <c r="M274" s="386"/>
      <c r="N274" s="191">
        <f t="shared" si="359"/>
        <v>0.37076476282671827</v>
      </c>
      <c r="O274" s="152">
        <f t="shared" si="391"/>
        <v>1.574255222808606</v>
      </c>
      <c r="P274" s="152">
        <f t="shared" si="392"/>
        <v>3.4703581800580832</v>
      </c>
      <c r="Q274" s="191">
        <f t="shared" si="362"/>
        <v>0.1049503481872404</v>
      </c>
      <c r="R274" s="191">
        <f t="shared" si="393"/>
        <v>9.8390951425537873E-2</v>
      </c>
      <c r="S274" s="191">
        <f t="shared" si="394"/>
        <v>15</v>
      </c>
      <c r="T274" s="191">
        <f t="shared" si="395"/>
        <v>0.41448171207962325</v>
      </c>
      <c r="U274" s="191">
        <f t="shared" si="366"/>
        <v>0.74925540260547263</v>
      </c>
      <c r="V274" s="191">
        <f t="shared" si="367"/>
        <v>1.2715822759622903</v>
      </c>
      <c r="W274" s="175">
        <f t="shared" si="368"/>
        <v>350</v>
      </c>
      <c r="X274" s="386">
        <f t="shared" si="369"/>
        <v>350</v>
      </c>
      <c r="Z274" s="191">
        <f t="shared" si="370"/>
        <v>0.58601117528843016</v>
      </c>
      <c r="AA274" s="153">
        <f t="shared" si="371"/>
        <v>1.7978149633522333</v>
      </c>
      <c r="AB274" s="153">
        <f t="shared" si="396"/>
        <v>8.9211019565034411E-2</v>
      </c>
      <c r="AC274" s="153"/>
      <c r="AD274" s="153">
        <f t="shared" si="373"/>
        <v>0.46018276762402083</v>
      </c>
      <c r="AE274" s="317">
        <f t="shared" si="397"/>
        <v>1680.4917257683219</v>
      </c>
      <c r="AF274" s="463">
        <f t="shared" si="398"/>
        <v>1.2079797650130546E-2</v>
      </c>
      <c r="AH274" s="153">
        <f t="shared" si="399"/>
        <v>0.46754873939323877</v>
      </c>
      <c r="AI274" s="153">
        <f t="shared" si="400"/>
        <v>0.46754873939323877</v>
      </c>
      <c r="AJ274" s="153">
        <f t="shared" si="401"/>
        <v>1.4352212884394362</v>
      </c>
      <c r="AL274" s="317">
        <f t="shared" si="402"/>
        <v>57.999999999999993</v>
      </c>
      <c r="AM274" s="147">
        <f t="shared" si="403"/>
        <v>350</v>
      </c>
      <c r="AO274">
        <f t="shared" si="381"/>
        <v>57.999999999999993</v>
      </c>
      <c r="AP274">
        <f t="shared" si="382"/>
        <v>350</v>
      </c>
      <c r="AR274" s="5">
        <f t="shared" si="406"/>
        <v>2.8571428571428572</v>
      </c>
      <c r="AS274" s="5">
        <f t="shared" si="385"/>
        <v>0.84518425967239308</v>
      </c>
      <c r="AT274" s="5">
        <f t="shared" si="386"/>
        <v>2.0119585974704641</v>
      </c>
      <c r="AU274" s="153">
        <f t="shared" si="387"/>
        <v>0.29581449088533757</v>
      </c>
      <c r="CI274" s="59">
        <f t="shared" si="404"/>
        <v>-50</v>
      </c>
    </row>
    <row r="275" spans="5:87" x14ac:dyDescent="0.25">
      <c r="E275" s="150">
        <v>59</v>
      </c>
      <c r="F275" s="191">
        <f t="shared" si="405"/>
        <v>5.8999999999999997E-2</v>
      </c>
      <c r="G275" s="191">
        <f t="shared" si="388"/>
        <v>5.8999999999999997E-2</v>
      </c>
      <c r="H275" s="191">
        <f t="shared" si="389"/>
        <v>0.88500000000000001</v>
      </c>
      <c r="I275" s="191">
        <f t="shared" si="390"/>
        <v>0.94399999999999995</v>
      </c>
      <c r="J275" s="472">
        <f t="shared" si="356"/>
        <v>26</v>
      </c>
      <c r="K275" s="386">
        <f t="shared" si="357"/>
        <v>15.32</v>
      </c>
      <c r="L275" s="386">
        <f t="shared" si="358"/>
        <v>41.32</v>
      </c>
      <c r="M275" s="386"/>
      <c r="N275" s="191">
        <f t="shared" si="359"/>
        <v>0.37076476282671827</v>
      </c>
      <c r="O275" s="152">
        <f t="shared" si="391"/>
        <v>1.574255222808606</v>
      </c>
      <c r="P275" s="152">
        <f t="shared" si="392"/>
        <v>3.4703581800580832</v>
      </c>
      <c r="Q275" s="191">
        <f t="shared" si="362"/>
        <v>0.1049503481872404</v>
      </c>
      <c r="R275" s="191">
        <f t="shared" si="393"/>
        <v>9.8390951425537873E-2</v>
      </c>
      <c r="S275" s="191">
        <f t="shared" si="394"/>
        <v>15</v>
      </c>
      <c r="T275" s="191">
        <f t="shared" si="395"/>
        <v>0.42162794849478918</v>
      </c>
      <c r="U275" s="191">
        <f t="shared" si="366"/>
        <v>0.7621735992021188</v>
      </c>
      <c r="V275" s="191">
        <f t="shared" si="367"/>
        <v>1.2935061083064681</v>
      </c>
      <c r="W275" s="175">
        <f t="shared" si="368"/>
        <v>350</v>
      </c>
      <c r="X275" s="386">
        <f t="shared" si="369"/>
        <v>350</v>
      </c>
      <c r="Z275" s="191">
        <f t="shared" si="370"/>
        <v>0.58601117528843016</v>
      </c>
      <c r="AA275" s="153">
        <f t="shared" si="371"/>
        <v>1.7978149633522333</v>
      </c>
      <c r="AB275" s="153">
        <f t="shared" si="396"/>
        <v>8.9211019565034411E-2</v>
      </c>
      <c r="AC275" s="153"/>
      <c r="AD275" s="153">
        <f t="shared" si="373"/>
        <v>0.46018276762402083</v>
      </c>
      <c r="AE275" s="317">
        <f t="shared" si="397"/>
        <v>1709.4657210401895</v>
      </c>
      <c r="AF275" s="463">
        <f t="shared" si="398"/>
        <v>1.2079797650130546E-2</v>
      </c>
      <c r="AH275" s="153">
        <f t="shared" si="399"/>
        <v>0.47156210690501099</v>
      </c>
      <c r="AI275" s="153">
        <f t="shared" si="400"/>
        <v>0.47156210690501099</v>
      </c>
      <c r="AJ275" s="153">
        <f t="shared" si="401"/>
        <v>1.438194153262971</v>
      </c>
      <c r="AL275" s="317">
        <f t="shared" si="402"/>
        <v>59</v>
      </c>
      <c r="AM275" s="147">
        <f t="shared" si="403"/>
        <v>350</v>
      </c>
      <c r="AO275">
        <f t="shared" si="381"/>
        <v>59</v>
      </c>
      <c r="AP275">
        <f t="shared" si="382"/>
        <v>350</v>
      </c>
      <c r="AR275" s="5">
        <f t="shared" si="406"/>
        <v>2.8571428571428572</v>
      </c>
      <c r="AS275" s="5">
        <f t="shared" si="385"/>
        <v>0.85243919325136597</v>
      </c>
      <c r="AT275" s="5">
        <f t="shared" si="386"/>
        <v>2.0047036638914912</v>
      </c>
      <c r="AU275" s="153">
        <f t="shared" si="387"/>
        <v>0.29835371763797808</v>
      </c>
      <c r="CI275" s="59">
        <f t="shared" si="404"/>
        <v>-50</v>
      </c>
    </row>
    <row r="276" spans="5:87" x14ac:dyDescent="0.25">
      <c r="E276" s="150">
        <v>60</v>
      </c>
      <c r="F276" s="191">
        <f t="shared" si="405"/>
        <v>0.06</v>
      </c>
      <c r="G276" s="191">
        <f t="shared" si="388"/>
        <v>0.06</v>
      </c>
      <c r="H276" s="191">
        <f t="shared" si="389"/>
        <v>0.89999999999999991</v>
      </c>
      <c r="I276" s="191">
        <f t="shared" si="390"/>
        <v>0.96</v>
      </c>
      <c r="J276" s="472">
        <f t="shared" si="356"/>
        <v>26</v>
      </c>
      <c r="K276" s="386">
        <f t="shared" si="357"/>
        <v>15.32</v>
      </c>
      <c r="L276" s="386">
        <f t="shared" si="358"/>
        <v>41.32</v>
      </c>
      <c r="M276" s="386"/>
      <c r="N276" s="191">
        <f t="shared" si="359"/>
        <v>0.37076476282671827</v>
      </c>
      <c r="O276" s="152">
        <f t="shared" si="391"/>
        <v>1.574255222808606</v>
      </c>
      <c r="P276" s="152">
        <f t="shared" si="392"/>
        <v>3.4703581800580832</v>
      </c>
      <c r="Q276" s="191">
        <f t="shared" si="362"/>
        <v>0.1049503481872404</v>
      </c>
      <c r="R276" s="191">
        <f t="shared" si="393"/>
        <v>9.8390951425537873E-2</v>
      </c>
      <c r="S276" s="191">
        <f t="shared" si="394"/>
        <v>15</v>
      </c>
      <c r="T276" s="191">
        <f t="shared" si="395"/>
        <v>0.42877418490995506</v>
      </c>
      <c r="U276" s="191">
        <f t="shared" si="366"/>
        <v>0.77509179579876486</v>
      </c>
      <c r="V276" s="191">
        <f t="shared" si="367"/>
        <v>1.3154299406506453</v>
      </c>
      <c r="W276" s="175">
        <f t="shared" si="368"/>
        <v>350</v>
      </c>
      <c r="X276" s="386">
        <f t="shared" si="369"/>
        <v>350</v>
      </c>
      <c r="Z276" s="191">
        <f t="shared" si="370"/>
        <v>0.58601117528843016</v>
      </c>
      <c r="AA276" s="153">
        <f t="shared" si="371"/>
        <v>1.7978149633522333</v>
      </c>
      <c r="AB276" s="153">
        <f t="shared" si="396"/>
        <v>8.9211019565034411E-2</v>
      </c>
      <c r="AC276" s="153"/>
      <c r="AD276" s="153">
        <f t="shared" si="373"/>
        <v>0.46018276762402083</v>
      </c>
      <c r="AE276" s="317">
        <f t="shared" si="397"/>
        <v>1738.4397163120568</v>
      </c>
      <c r="AF276" s="463">
        <f t="shared" si="398"/>
        <v>1.2079797650130546E-2</v>
      </c>
      <c r="AH276" s="153">
        <f t="shared" si="399"/>
        <v>0.475541604519709</v>
      </c>
      <c r="AI276" s="153">
        <f t="shared" si="400"/>
        <v>0.475541604519709</v>
      </c>
      <c r="AJ276" s="153">
        <f t="shared" si="401"/>
        <v>1.4411419292738585</v>
      </c>
      <c r="AL276" s="317">
        <f t="shared" si="402"/>
        <v>60</v>
      </c>
      <c r="AM276" s="147">
        <f t="shared" si="403"/>
        <v>350</v>
      </c>
      <c r="AO276">
        <f t="shared" si="381"/>
        <v>60</v>
      </c>
      <c r="AP276">
        <f t="shared" si="382"/>
        <v>350</v>
      </c>
      <c r="AR276" s="5">
        <f t="shared" si="406"/>
        <v>2.8571428571428572</v>
      </c>
      <c r="AS276" s="5">
        <f t="shared" si="385"/>
        <v>0.85963290047793539</v>
      </c>
      <c r="AT276" s="5">
        <f t="shared" si="386"/>
        <v>1.9975099566649219</v>
      </c>
      <c r="AU276" s="153">
        <f t="shared" si="387"/>
        <v>0.30087151516727739</v>
      </c>
      <c r="CI276" s="59">
        <f t="shared" si="404"/>
        <v>-50</v>
      </c>
    </row>
    <row r="277" spans="5:87" x14ac:dyDescent="0.25">
      <c r="E277" s="150">
        <v>61</v>
      </c>
      <c r="F277" s="191">
        <f t="shared" si="405"/>
        <v>6.0999999999999999E-2</v>
      </c>
      <c r="G277" s="191">
        <f t="shared" si="388"/>
        <v>6.0999999999999999E-2</v>
      </c>
      <c r="H277" s="191">
        <f t="shared" si="389"/>
        <v>0.91500000000000004</v>
      </c>
      <c r="I277" s="191">
        <f t="shared" si="390"/>
        <v>0.97599999999999998</v>
      </c>
      <c r="J277" s="472">
        <f t="shared" si="356"/>
        <v>26</v>
      </c>
      <c r="K277" s="386">
        <f t="shared" si="357"/>
        <v>15.32</v>
      </c>
      <c r="L277" s="386">
        <f t="shared" si="358"/>
        <v>41.32</v>
      </c>
      <c r="M277" s="386"/>
      <c r="N277" s="191">
        <f t="shared" si="359"/>
        <v>0.37076476282671827</v>
      </c>
      <c r="O277" s="152">
        <f t="shared" si="391"/>
        <v>1.574255222808606</v>
      </c>
      <c r="P277" s="152">
        <f t="shared" si="392"/>
        <v>3.4703581800580832</v>
      </c>
      <c r="Q277" s="191">
        <f t="shared" si="362"/>
        <v>0.1049503481872404</v>
      </c>
      <c r="R277" s="191">
        <f t="shared" si="393"/>
        <v>9.8390951425537873E-2</v>
      </c>
      <c r="S277" s="191">
        <f t="shared" si="394"/>
        <v>15</v>
      </c>
      <c r="T277" s="191">
        <f t="shared" si="395"/>
        <v>0.43592042132512104</v>
      </c>
      <c r="U277" s="191">
        <f t="shared" si="366"/>
        <v>0.78800999239541114</v>
      </c>
      <c r="V277" s="191">
        <f t="shared" si="367"/>
        <v>1.3373537729948231</v>
      </c>
      <c r="W277" s="175">
        <f t="shared" si="368"/>
        <v>350</v>
      </c>
      <c r="X277" s="386">
        <f t="shared" si="369"/>
        <v>350</v>
      </c>
      <c r="Z277" s="191">
        <f t="shared" si="370"/>
        <v>0.58601117528843016</v>
      </c>
      <c r="AA277" s="153">
        <f t="shared" si="371"/>
        <v>1.7978149633522333</v>
      </c>
      <c r="AB277" s="153">
        <f t="shared" si="396"/>
        <v>8.9211019565034411E-2</v>
      </c>
      <c r="AC277" s="153"/>
      <c r="AD277" s="153">
        <f t="shared" si="373"/>
        <v>0.46018276762402083</v>
      </c>
      <c r="AE277" s="317">
        <f t="shared" si="397"/>
        <v>1767.4137115839246</v>
      </c>
      <c r="AF277" s="463">
        <f t="shared" si="398"/>
        <v>1.2079797650130546E-2</v>
      </c>
      <c r="AH277" s="153">
        <f t="shared" si="399"/>
        <v>0.47948807554481027</v>
      </c>
      <c r="AI277" s="153">
        <f t="shared" si="400"/>
        <v>0.47948807554481027</v>
      </c>
      <c r="AJ277" s="153">
        <f t="shared" si="401"/>
        <v>1.4440652411443038</v>
      </c>
      <c r="AL277" s="317">
        <f t="shared" si="402"/>
        <v>61</v>
      </c>
      <c r="AM277" s="147">
        <f t="shared" si="403"/>
        <v>350</v>
      </c>
      <c r="AO277">
        <f t="shared" si="381"/>
        <v>61</v>
      </c>
      <c r="AP277">
        <f t="shared" si="382"/>
        <v>350</v>
      </c>
      <c r="AR277" s="5">
        <f t="shared" si="406"/>
        <v>2.8571428571428572</v>
      </c>
      <c r="AS277" s="5">
        <f t="shared" si="385"/>
        <v>0.86676690579254168</v>
      </c>
      <c r="AT277" s="5">
        <f t="shared" si="386"/>
        <v>1.9903759513503156</v>
      </c>
      <c r="AU277" s="153">
        <f t="shared" si="387"/>
        <v>0.30336841702738959</v>
      </c>
      <c r="CI277" s="59">
        <f t="shared" si="404"/>
        <v>-50</v>
      </c>
    </row>
    <row r="278" spans="5:87" x14ac:dyDescent="0.25">
      <c r="E278" s="150">
        <v>62</v>
      </c>
      <c r="F278" s="191">
        <f t="shared" si="405"/>
        <v>6.2E-2</v>
      </c>
      <c r="G278" s="191">
        <f t="shared" si="388"/>
        <v>6.2E-2</v>
      </c>
      <c r="H278" s="191">
        <f t="shared" si="389"/>
        <v>0.92999999999999994</v>
      </c>
      <c r="I278" s="191">
        <f t="shared" si="390"/>
        <v>0.99199999999999999</v>
      </c>
      <c r="J278" s="472">
        <f t="shared" si="356"/>
        <v>26</v>
      </c>
      <c r="K278" s="386">
        <f t="shared" si="357"/>
        <v>15.32</v>
      </c>
      <c r="L278" s="386">
        <f t="shared" si="358"/>
        <v>41.32</v>
      </c>
      <c r="M278" s="386"/>
      <c r="N278" s="191">
        <f t="shared" si="359"/>
        <v>0.37076476282671827</v>
      </c>
      <c r="O278" s="152">
        <f t="shared" si="391"/>
        <v>1.574255222808606</v>
      </c>
      <c r="P278" s="152">
        <f t="shared" si="392"/>
        <v>3.4703581800580832</v>
      </c>
      <c r="Q278" s="191">
        <f t="shared" si="362"/>
        <v>0.1049503481872404</v>
      </c>
      <c r="R278" s="191">
        <f t="shared" si="393"/>
        <v>9.8390951425537873E-2</v>
      </c>
      <c r="S278" s="191">
        <f t="shared" si="394"/>
        <v>15</v>
      </c>
      <c r="T278" s="191">
        <f t="shared" si="395"/>
        <v>0.44306665774028692</v>
      </c>
      <c r="U278" s="191">
        <f t="shared" si="366"/>
        <v>0.80092818899205709</v>
      </c>
      <c r="V278" s="191">
        <f t="shared" si="367"/>
        <v>1.3592776053390001</v>
      </c>
      <c r="W278" s="175">
        <f t="shared" si="368"/>
        <v>350</v>
      </c>
      <c r="X278" s="386">
        <f t="shared" si="369"/>
        <v>350</v>
      </c>
      <c r="Z278" s="191">
        <f t="shared" si="370"/>
        <v>0.58601117528843016</v>
      </c>
      <c r="AA278" s="153">
        <f t="shared" si="371"/>
        <v>1.7978149633522333</v>
      </c>
      <c r="AB278" s="153">
        <f t="shared" si="396"/>
        <v>8.9211019565034411E-2</v>
      </c>
      <c r="AC278" s="153"/>
      <c r="AD278" s="153">
        <f t="shared" si="373"/>
        <v>0.46018276762402083</v>
      </c>
      <c r="AE278" s="317">
        <f t="shared" si="397"/>
        <v>1796.3877068557924</v>
      </c>
      <c r="AF278" s="463">
        <f t="shared" si="398"/>
        <v>1.2079797650130546E-2</v>
      </c>
      <c r="AH278" s="153">
        <f t="shared" si="399"/>
        <v>0.48340232886297929</v>
      </c>
      <c r="AI278" s="153">
        <f t="shared" si="400"/>
        <v>0.48340232886297929</v>
      </c>
      <c r="AJ278" s="153">
        <f t="shared" si="401"/>
        <v>1.4469646880466513</v>
      </c>
      <c r="AL278" s="317">
        <f t="shared" si="402"/>
        <v>62</v>
      </c>
      <c r="AM278" s="147">
        <f t="shared" si="403"/>
        <v>350</v>
      </c>
      <c r="AO278">
        <f t="shared" si="381"/>
        <v>62</v>
      </c>
      <c r="AP278">
        <f t="shared" si="382"/>
        <v>350</v>
      </c>
      <c r="AR278" s="5">
        <f t="shared" si="406"/>
        <v>2.8571428571428572</v>
      </c>
      <c r="AS278" s="5">
        <f t="shared" si="385"/>
        <v>0.87384267140615479</v>
      </c>
      <c r="AT278" s="5">
        <f t="shared" si="386"/>
        <v>1.9833001857367023</v>
      </c>
      <c r="AU278" s="153">
        <f t="shared" si="387"/>
        <v>0.30584493499215415</v>
      </c>
      <c r="CI278" s="59">
        <f t="shared" si="404"/>
        <v>-50</v>
      </c>
    </row>
    <row r="279" spans="5:87" x14ac:dyDescent="0.25">
      <c r="E279" s="150">
        <v>63</v>
      </c>
      <c r="F279" s="191">
        <f t="shared" si="405"/>
        <v>6.3E-2</v>
      </c>
      <c r="G279" s="191">
        <f t="shared" si="388"/>
        <v>6.3E-2</v>
      </c>
      <c r="H279" s="191">
        <f t="shared" si="389"/>
        <v>0.94500000000000006</v>
      </c>
      <c r="I279" s="191">
        <f t="shared" si="390"/>
        <v>1.008</v>
      </c>
      <c r="J279" s="472">
        <f t="shared" si="356"/>
        <v>26</v>
      </c>
      <c r="K279" s="386">
        <f t="shared" si="357"/>
        <v>15.32</v>
      </c>
      <c r="L279" s="386">
        <f t="shared" si="358"/>
        <v>41.32</v>
      </c>
      <c r="M279" s="386"/>
      <c r="N279" s="191">
        <f t="shared" si="359"/>
        <v>0.37076476282671827</v>
      </c>
      <c r="O279" s="152">
        <f t="shared" si="391"/>
        <v>1.574255222808606</v>
      </c>
      <c r="P279" s="152">
        <f t="shared" si="392"/>
        <v>3.4703581800580832</v>
      </c>
      <c r="Q279" s="191">
        <f t="shared" si="362"/>
        <v>0.1049503481872404</v>
      </c>
      <c r="R279" s="191">
        <f t="shared" si="393"/>
        <v>9.8390951425537873E-2</v>
      </c>
      <c r="S279" s="191">
        <f t="shared" si="394"/>
        <v>15</v>
      </c>
      <c r="T279" s="191">
        <f t="shared" si="395"/>
        <v>0.4502128941554529</v>
      </c>
      <c r="U279" s="191">
        <f t="shared" si="366"/>
        <v>0.81384638558870337</v>
      </c>
      <c r="V279" s="191">
        <f t="shared" si="367"/>
        <v>1.3812014376831778</v>
      </c>
      <c r="W279" s="175">
        <f t="shared" si="368"/>
        <v>350</v>
      </c>
      <c r="X279" s="386">
        <f t="shared" si="369"/>
        <v>350</v>
      </c>
      <c r="Z279" s="191">
        <f t="shared" si="370"/>
        <v>0.58601117528843016</v>
      </c>
      <c r="AA279" s="153">
        <f t="shared" si="371"/>
        <v>1.7978149633522333</v>
      </c>
      <c r="AB279" s="153">
        <f t="shared" si="396"/>
        <v>8.9211019565034411E-2</v>
      </c>
      <c r="AC279" s="153"/>
      <c r="AD279" s="153">
        <f t="shared" si="373"/>
        <v>0.46018276762402083</v>
      </c>
      <c r="AE279" s="317">
        <f t="shared" si="397"/>
        <v>1825.3617021276598</v>
      </c>
      <c r="AF279" s="463">
        <f t="shared" si="398"/>
        <v>1.2079797650130546E-2</v>
      </c>
      <c r="AH279" s="153">
        <f t="shared" si="399"/>
        <v>0.48728514086788888</v>
      </c>
      <c r="AI279" s="153">
        <f t="shared" si="400"/>
        <v>0.48728514086788888</v>
      </c>
      <c r="AJ279" s="153">
        <f t="shared" si="401"/>
        <v>1.449840845087325</v>
      </c>
      <c r="AL279" s="317">
        <f t="shared" si="402"/>
        <v>63</v>
      </c>
      <c r="AM279" s="147">
        <f t="shared" si="403"/>
        <v>350</v>
      </c>
      <c r="AO279">
        <f t="shared" si="381"/>
        <v>63</v>
      </c>
      <c r="AP279">
        <f t="shared" si="382"/>
        <v>350</v>
      </c>
      <c r="AR279" s="5">
        <f t="shared" si="406"/>
        <v>2.8571428571428572</v>
      </c>
      <c r="AS279" s="5">
        <f t="shared" si="385"/>
        <v>0.88086160079964526</v>
      </c>
      <c r="AT279" s="5">
        <f t="shared" si="386"/>
        <v>1.9762812563432119</v>
      </c>
      <c r="AU279" s="153">
        <f t="shared" si="387"/>
        <v>0.30830156027987582</v>
      </c>
      <c r="CI279" s="59">
        <f t="shared" si="404"/>
        <v>-50</v>
      </c>
    </row>
    <row r="280" spans="5:87" x14ac:dyDescent="0.25">
      <c r="E280" s="150">
        <v>64</v>
      </c>
      <c r="F280" s="191">
        <f t="shared" si="405"/>
        <v>6.4000000000000001E-2</v>
      </c>
      <c r="G280" s="191">
        <f t="shared" ref="G280:G316" si="407">IF(PLOT_TYPE=1, E280/100*Iout2, min_I*EXP(Q280*rr/100))</f>
        <v>6.4000000000000001E-2</v>
      </c>
      <c r="H280" s="191">
        <f t="shared" ref="H280:H316" si="408">F280*Vout</f>
        <v>0.96</v>
      </c>
      <c r="I280" s="191">
        <f t="shared" ref="I280:I316" si="409">Vout2*G280</f>
        <v>1.024</v>
      </c>
      <c r="J280" s="472">
        <f t="shared" ref="J280:J316" si="410">VIN_max</f>
        <v>26</v>
      </c>
      <c r="K280" s="386">
        <f t="shared" ref="K280:K316" si="411">(S280+Vfwd1)*Nps</f>
        <v>15.32</v>
      </c>
      <c r="L280" s="386">
        <f t="shared" ref="L280:L316" si="412">(Vout+Vfwd1)*Nps+J280</f>
        <v>41.32</v>
      </c>
      <c r="M280" s="386"/>
      <c r="N280" s="191">
        <f t="shared" ref="N280:N316" si="413">(Vout+Vfwd1)*Nps/((Vout+Vfwd1)*Nps+J280)</f>
        <v>0.37076476282671827</v>
      </c>
      <c r="O280" s="152">
        <f t="shared" ref="O280:O311" si="414">N280*J280*Isw_max*0.5*Efficiency*Pout/(Pout+Pout2)</f>
        <v>1.574255222808606</v>
      </c>
      <c r="P280" s="152">
        <f t="shared" ref="P280:P316" si="415">N280*J280*Isw_max*0.5*Efficiency*(Pout2/Pout_total)</f>
        <v>3.4703581800580832</v>
      </c>
      <c r="Q280" s="191">
        <f t="shared" ref="Q280:Q316" si="416">O280/Vout</f>
        <v>0.1049503481872404</v>
      </c>
      <c r="R280" s="191">
        <f t="shared" ref="R280:R316" si="417">O280/Vout2</f>
        <v>9.8390951425537873E-2</v>
      </c>
      <c r="S280" s="191">
        <f t="shared" ref="S280:S316" si="418">MIN(Vout,O280/F280)</f>
        <v>15</v>
      </c>
      <c r="T280" s="191">
        <f t="shared" ref="T280:T316" si="419">MIN(2*(Vout*F280+Vout2*G280)/(Efficiency*J280*N280), Isw_max)</f>
        <v>0.45735913057061878</v>
      </c>
      <c r="U280" s="191">
        <f t="shared" ref="U280:U316" si="420">L*T280/J280*1000000</f>
        <v>0.82676458218534921</v>
      </c>
      <c r="V280" s="191">
        <f t="shared" ref="V280:V316" si="421">L*T280/K280*1000000</f>
        <v>1.4031252700273551</v>
      </c>
      <c r="W280" s="175">
        <f t="shared" ref="W280:W316" si="422">IF(1/((350000*L)*(1/J280+1/K280))&gt;Isw_min, 350, 0.001/((Isw_min*L)*(1/J280+1/K280)))</f>
        <v>350</v>
      </c>
      <c r="X280" s="386">
        <f t="shared" ref="X280:X316" si="423">MIN(1/(U280+V280)*1000, 350)</f>
        <v>350</v>
      </c>
      <c r="Z280" s="191">
        <f t="shared" ref="Z280:Z316" si="424">1/((W280*1000*L)*(1/J280+1/K280))</f>
        <v>0.58601117528843016</v>
      </c>
      <c r="AA280" s="153">
        <f t="shared" ref="AA280:AA316" si="425">L*Z280/K280*1000000</f>
        <v>1.7978149633522333</v>
      </c>
      <c r="AB280" s="153">
        <f t="shared" ref="AB280:AB311" si="426">0.5*AA280*Z280*Nps*W280/1000*(Pout/(Pout+Pout2))</f>
        <v>8.9211019565034411E-2</v>
      </c>
      <c r="AC280" s="153"/>
      <c r="AD280" s="153">
        <f t="shared" ref="AD280:AD316" si="427">L*Isw_min/K280*1000000</f>
        <v>0.46018276762402083</v>
      </c>
      <c r="AE280" s="317">
        <f t="shared" ref="AE280:AE311" si="428">MAX(10, F280/(0.5*AD280/1000000*Isw_min*Nps)/1000*Pout_total/Pout)</f>
        <v>1854.3356973995278</v>
      </c>
      <c r="AF280" s="463">
        <f t="shared" ref="AF280:AF316" si="429">0.5*AD280/1000000*Isw_min*Nps*W280*1000*(Pout/Pout_total)</f>
        <v>1.2079797650130546E-2</v>
      </c>
      <c r="AH280" s="153">
        <f t="shared" ref="AH280:AH316" si="430">SQRT((H280+I280)/(0.5*L*Fsw_DCM))</f>
        <v>0.49113725726228979</v>
      </c>
      <c r="AI280" s="153">
        <f t="shared" ref="AI280:AI311" si="431">MAX(IF(F280&gt;AB280,T280,AH280),Isw_min)</f>
        <v>0.49113725726228979</v>
      </c>
      <c r="AJ280" s="153">
        <f t="shared" ref="AJ280:AJ311" si="432">IF(F280&gt;AF280, (AI280-Isw_min)/1.08*0.8+1.2, AE280*0.2/350+1)</f>
        <v>1.4526942646387331</v>
      </c>
      <c r="AL280" s="317">
        <f t="shared" ref="AL280:AL316" si="433">F280*1000</f>
        <v>64</v>
      </c>
      <c r="AM280" s="147">
        <f t="shared" ref="AM280:AM316" si="434">IF(F280&gt;AF280, X280, AE280)</f>
        <v>350</v>
      </c>
      <c r="AO280">
        <f t="shared" ref="AO280:AO316" si="435">IF(H280&gt;O280, "",AL280)</f>
        <v>64</v>
      </c>
      <c r="AP280">
        <f t="shared" ref="AP280:AP316" si="436">IF(H280&gt;O280, "",AM280)</f>
        <v>350</v>
      </c>
      <c r="AR280" s="5">
        <f t="shared" si="406"/>
        <v>2.8571428571428572</v>
      </c>
      <c r="AS280" s="5">
        <f t="shared" si="385"/>
        <v>0.88782504197413925</v>
      </c>
      <c r="AT280" s="5">
        <f t="shared" si="386"/>
        <v>1.9693178151687181</v>
      </c>
      <c r="AU280" s="153">
        <f t="shared" si="387"/>
        <v>0.31073876469094874</v>
      </c>
      <c r="CI280" s="59">
        <f t="shared" ref="CI280:CI316" si="437">IF(ABS(F280-Ioutmax_Vinmax)&lt;Iout/200, AM280, -50)</f>
        <v>-50</v>
      </c>
    </row>
    <row r="281" spans="5:87" x14ac:dyDescent="0.25">
      <c r="E281" s="150">
        <v>65</v>
      </c>
      <c r="F281" s="191">
        <f t="shared" ref="F281:F312" si="438">IF(PLOT_TYPE=1, E281/100*Iout_max, min_I*EXP(O281*rr/100))</f>
        <v>6.5000000000000002E-2</v>
      </c>
      <c r="G281" s="191">
        <f t="shared" si="407"/>
        <v>6.5000000000000002E-2</v>
      </c>
      <c r="H281" s="191">
        <f t="shared" si="408"/>
        <v>0.97500000000000009</v>
      </c>
      <c r="I281" s="191">
        <f t="shared" si="409"/>
        <v>1.04</v>
      </c>
      <c r="J281" s="472">
        <f t="shared" si="410"/>
        <v>26</v>
      </c>
      <c r="K281" s="386">
        <f t="shared" si="411"/>
        <v>15.32</v>
      </c>
      <c r="L281" s="386">
        <f t="shared" si="412"/>
        <v>41.32</v>
      </c>
      <c r="M281" s="386"/>
      <c r="N281" s="191">
        <f t="shared" si="413"/>
        <v>0.37076476282671827</v>
      </c>
      <c r="O281" s="152">
        <f t="shared" si="414"/>
        <v>1.574255222808606</v>
      </c>
      <c r="P281" s="152">
        <f t="shared" si="415"/>
        <v>3.4703581800580832</v>
      </c>
      <c r="Q281" s="191">
        <f t="shared" si="416"/>
        <v>0.1049503481872404</v>
      </c>
      <c r="R281" s="191">
        <f t="shared" si="417"/>
        <v>9.8390951425537873E-2</v>
      </c>
      <c r="S281" s="191">
        <f t="shared" si="418"/>
        <v>15</v>
      </c>
      <c r="T281" s="191">
        <f t="shared" si="419"/>
        <v>0.46450536698578471</v>
      </c>
      <c r="U281" s="191">
        <f t="shared" si="420"/>
        <v>0.83968277878199538</v>
      </c>
      <c r="V281" s="191">
        <f t="shared" si="421"/>
        <v>1.4250491023715328</v>
      </c>
      <c r="W281" s="175">
        <f t="shared" si="422"/>
        <v>350</v>
      </c>
      <c r="X281" s="386">
        <f t="shared" si="423"/>
        <v>350</v>
      </c>
      <c r="Z281" s="191">
        <f t="shared" si="424"/>
        <v>0.58601117528843016</v>
      </c>
      <c r="AA281" s="153">
        <f t="shared" si="425"/>
        <v>1.7978149633522333</v>
      </c>
      <c r="AB281" s="153">
        <f t="shared" si="426"/>
        <v>8.9211019565034411E-2</v>
      </c>
      <c r="AC281" s="153"/>
      <c r="AD281" s="153">
        <f t="shared" si="427"/>
        <v>0.46018276762402083</v>
      </c>
      <c r="AE281" s="317">
        <f t="shared" si="428"/>
        <v>1883.3096926713954</v>
      </c>
      <c r="AF281" s="463">
        <f t="shared" si="429"/>
        <v>1.2079797650130546E-2</v>
      </c>
      <c r="AH281" s="153">
        <f t="shared" si="430"/>
        <v>0.49495939473012429</v>
      </c>
      <c r="AI281" s="153">
        <f t="shared" si="431"/>
        <v>0.49495939473012429</v>
      </c>
      <c r="AJ281" s="153">
        <f t="shared" si="432"/>
        <v>1.4555254775778699</v>
      </c>
      <c r="AL281" s="317">
        <f t="shared" si="433"/>
        <v>65</v>
      </c>
      <c r="AM281" s="147">
        <f t="shared" si="434"/>
        <v>350</v>
      </c>
      <c r="AO281">
        <f t="shared" si="435"/>
        <v>65</v>
      </c>
      <c r="AP281">
        <f t="shared" si="436"/>
        <v>350</v>
      </c>
      <c r="AR281" s="5">
        <f t="shared" si="406"/>
        <v>2.8571428571428572</v>
      </c>
      <c r="AS281" s="5">
        <f t="shared" si="385"/>
        <v>0.89473429047368613</v>
      </c>
      <c r="AT281" s="5">
        <f t="shared" si="386"/>
        <v>1.9624085666691711</v>
      </c>
      <c r="AU281" s="153">
        <f t="shared" si="387"/>
        <v>0.31315700166579014</v>
      </c>
      <c r="CI281" s="59">
        <f t="shared" si="437"/>
        <v>-50</v>
      </c>
    </row>
    <row r="282" spans="5:87" x14ac:dyDescent="0.25">
      <c r="E282" s="150">
        <v>66</v>
      </c>
      <c r="F282" s="191">
        <f t="shared" si="438"/>
        <v>6.6000000000000003E-2</v>
      </c>
      <c r="G282" s="191">
        <f t="shared" si="407"/>
        <v>6.6000000000000003E-2</v>
      </c>
      <c r="H282" s="191">
        <f t="shared" si="408"/>
        <v>0.99</v>
      </c>
      <c r="I282" s="191">
        <f t="shared" si="409"/>
        <v>1.056</v>
      </c>
      <c r="J282" s="472">
        <f t="shared" si="410"/>
        <v>26</v>
      </c>
      <c r="K282" s="386">
        <f t="shared" si="411"/>
        <v>15.32</v>
      </c>
      <c r="L282" s="386">
        <f t="shared" si="412"/>
        <v>41.32</v>
      </c>
      <c r="M282" s="386"/>
      <c r="N282" s="191">
        <f t="shared" si="413"/>
        <v>0.37076476282671827</v>
      </c>
      <c r="O282" s="152">
        <f t="shared" si="414"/>
        <v>1.574255222808606</v>
      </c>
      <c r="P282" s="152">
        <f t="shared" si="415"/>
        <v>3.4703581800580832</v>
      </c>
      <c r="Q282" s="191">
        <f t="shared" si="416"/>
        <v>0.1049503481872404</v>
      </c>
      <c r="R282" s="191">
        <f t="shared" si="417"/>
        <v>9.8390951425537873E-2</v>
      </c>
      <c r="S282" s="191">
        <f t="shared" si="418"/>
        <v>15</v>
      </c>
      <c r="T282" s="191">
        <f t="shared" si="419"/>
        <v>0.47165160340095069</v>
      </c>
      <c r="U282" s="191">
        <f t="shared" si="420"/>
        <v>0.85260097537864155</v>
      </c>
      <c r="V282" s="191">
        <f t="shared" si="421"/>
        <v>1.4469729347157101</v>
      </c>
      <c r="W282" s="175">
        <f t="shared" si="422"/>
        <v>350</v>
      </c>
      <c r="X282" s="386">
        <f t="shared" si="423"/>
        <v>350</v>
      </c>
      <c r="Z282" s="191">
        <f t="shared" si="424"/>
        <v>0.58601117528843016</v>
      </c>
      <c r="AA282" s="153">
        <f t="shared" si="425"/>
        <v>1.7978149633522333</v>
      </c>
      <c r="AB282" s="153">
        <f t="shared" si="426"/>
        <v>8.9211019565034411E-2</v>
      </c>
      <c r="AC282" s="153"/>
      <c r="AD282" s="153">
        <f t="shared" si="427"/>
        <v>0.46018276762402083</v>
      </c>
      <c r="AE282" s="317">
        <f t="shared" si="428"/>
        <v>1912.2836879432627</v>
      </c>
      <c r="AF282" s="463">
        <f t="shared" si="429"/>
        <v>1.2079797650130546E-2</v>
      </c>
      <c r="AH282" s="153">
        <f t="shared" si="430"/>
        <v>0.4987522424933018</v>
      </c>
      <c r="AI282" s="153">
        <f t="shared" si="431"/>
        <v>0.4987522424933018</v>
      </c>
      <c r="AJ282" s="153">
        <f t="shared" si="432"/>
        <v>1.4583349944394828</v>
      </c>
      <c r="AL282" s="317">
        <f t="shared" si="433"/>
        <v>66</v>
      </c>
      <c r="AM282" s="147">
        <f t="shared" si="434"/>
        <v>350</v>
      </c>
      <c r="AO282">
        <f t="shared" si="435"/>
        <v>66</v>
      </c>
      <c r="AP282">
        <f t="shared" si="436"/>
        <v>350</v>
      </c>
      <c r="AR282" s="5">
        <f t="shared" si="406"/>
        <v>2.8571428571428572</v>
      </c>
      <c r="AS282" s="5">
        <f t="shared" si="385"/>
        <v>0.90159059219943016</v>
      </c>
      <c r="AT282" s="5">
        <f t="shared" si="386"/>
        <v>1.9555522649434272</v>
      </c>
      <c r="AU282" s="153">
        <f t="shared" si="387"/>
        <v>0.31555670726980056</v>
      </c>
      <c r="CI282" s="59">
        <f t="shared" si="437"/>
        <v>-50</v>
      </c>
    </row>
    <row r="283" spans="5:87" x14ac:dyDescent="0.25">
      <c r="E283" s="150">
        <v>67</v>
      </c>
      <c r="F283" s="191">
        <f t="shared" si="438"/>
        <v>6.7000000000000004E-2</v>
      </c>
      <c r="G283" s="191">
        <f t="shared" si="407"/>
        <v>6.7000000000000004E-2</v>
      </c>
      <c r="H283" s="191">
        <f t="shared" si="408"/>
        <v>1.0050000000000001</v>
      </c>
      <c r="I283" s="191">
        <f t="shared" si="409"/>
        <v>1.0720000000000001</v>
      </c>
      <c r="J283" s="472">
        <f t="shared" si="410"/>
        <v>26</v>
      </c>
      <c r="K283" s="386">
        <f t="shared" si="411"/>
        <v>15.32</v>
      </c>
      <c r="L283" s="386">
        <f t="shared" si="412"/>
        <v>41.32</v>
      </c>
      <c r="M283" s="386"/>
      <c r="N283" s="191">
        <f t="shared" si="413"/>
        <v>0.37076476282671827</v>
      </c>
      <c r="O283" s="152">
        <f t="shared" si="414"/>
        <v>1.574255222808606</v>
      </c>
      <c r="P283" s="152">
        <f t="shared" si="415"/>
        <v>3.4703581800580832</v>
      </c>
      <c r="Q283" s="191">
        <f t="shared" si="416"/>
        <v>0.1049503481872404</v>
      </c>
      <c r="R283" s="191">
        <f t="shared" si="417"/>
        <v>9.8390951425537873E-2</v>
      </c>
      <c r="S283" s="191">
        <f t="shared" si="418"/>
        <v>15</v>
      </c>
      <c r="T283" s="191">
        <f t="shared" si="419"/>
        <v>0.47879783981611651</v>
      </c>
      <c r="U283" s="191">
        <f t="shared" si="420"/>
        <v>0.86551917197528749</v>
      </c>
      <c r="V283" s="191">
        <f t="shared" si="421"/>
        <v>1.4688967670598874</v>
      </c>
      <c r="W283" s="175">
        <f t="shared" si="422"/>
        <v>350</v>
      </c>
      <c r="X283" s="386">
        <f t="shared" si="423"/>
        <v>350</v>
      </c>
      <c r="Z283" s="191">
        <f t="shared" si="424"/>
        <v>0.58601117528843016</v>
      </c>
      <c r="AA283" s="153">
        <f t="shared" si="425"/>
        <v>1.7978149633522333</v>
      </c>
      <c r="AB283" s="153">
        <f t="shared" si="426"/>
        <v>8.9211019565034411E-2</v>
      </c>
      <c r="AC283" s="153"/>
      <c r="AD283" s="153">
        <f t="shared" si="427"/>
        <v>0.46018276762402083</v>
      </c>
      <c r="AE283" s="317">
        <f t="shared" si="428"/>
        <v>1941.2576832151306</v>
      </c>
      <c r="AF283" s="463">
        <f t="shared" si="429"/>
        <v>1.2079797650130546E-2</v>
      </c>
      <c r="AH283" s="153">
        <f t="shared" si="430"/>
        <v>0.50251646376271453</v>
      </c>
      <c r="AI283" s="153">
        <f t="shared" si="431"/>
        <v>0.50251646376271453</v>
      </c>
      <c r="AJ283" s="153">
        <f t="shared" si="432"/>
        <v>1.4611233064908995</v>
      </c>
      <c r="AL283" s="317">
        <f t="shared" si="433"/>
        <v>67</v>
      </c>
      <c r="AM283" s="147">
        <f t="shared" si="434"/>
        <v>350</v>
      </c>
      <c r="AO283">
        <f t="shared" si="435"/>
        <v>67</v>
      </c>
      <c r="AP283">
        <f t="shared" si="436"/>
        <v>350</v>
      </c>
      <c r="AR283" s="5">
        <f t="shared" si="406"/>
        <v>2.8571428571428572</v>
      </c>
      <c r="AS283" s="5">
        <f t="shared" si="385"/>
        <v>0.9083951460325993</v>
      </c>
      <c r="AT283" s="5">
        <f t="shared" si="386"/>
        <v>1.9487477111102578</v>
      </c>
      <c r="AU283" s="153">
        <f t="shared" si="387"/>
        <v>0.31793830111140975</v>
      </c>
      <c r="CI283" s="59">
        <f t="shared" si="437"/>
        <v>-50</v>
      </c>
    </row>
    <row r="284" spans="5:87" x14ac:dyDescent="0.25">
      <c r="E284" s="150">
        <v>68</v>
      </c>
      <c r="F284" s="191">
        <f t="shared" si="438"/>
        <v>6.8000000000000005E-2</v>
      </c>
      <c r="G284" s="191">
        <f t="shared" si="407"/>
        <v>6.8000000000000005E-2</v>
      </c>
      <c r="H284" s="191">
        <f t="shared" si="408"/>
        <v>1.02</v>
      </c>
      <c r="I284" s="191">
        <f t="shared" si="409"/>
        <v>1.0880000000000001</v>
      </c>
      <c r="J284" s="472">
        <f t="shared" si="410"/>
        <v>26</v>
      </c>
      <c r="K284" s="386">
        <f t="shared" si="411"/>
        <v>15.32</v>
      </c>
      <c r="L284" s="386">
        <f t="shared" si="412"/>
        <v>41.32</v>
      </c>
      <c r="M284" s="386"/>
      <c r="N284" s="191">
        <f t="shared" si="413"/>
        <v>0.37076476282671827</v>
      </c>
      <c r="O284" s="152">
        <f t="shared" si="414"/>
        <v>1.574255222808606</v>
      </c>
      <c r="P284" s="152">
        <f t="shared" si="415"/>
        <v>3.4703581800580832</v>
      </c>
      <c r="Q284" s="191">
        <f t="shared" si="416"/>
        <v>0.1049503481872404</v>
      </c>
      <c r="R284" s="191">
        <f t="shared" si="417"/>
        <v>9.8390951425537873E-2</v>
      </c>
      <c r="S284" s="191">
        <f t="shared" si="418"/>
        <v>15</v>
      </c>
      <c r="T284" s="191">
        <f t="shared" si="419"/>
        <v>0.4859440762312825</v>
      </c>
      <c r="U284" s="191">
        <f t="shared" si="420"/>
        <v>0.87843736857193377</v>
      </c>
      <c r="V284" s="191">
        <f t="shared" si="421"/>
        <v>1.4908205994040651</v>
      </c>
      <c r="W284" s="175">
        <f t="shared" si="422"/>
        <v>350</v>
      </c>
      <c r="X284" s="386">
        <f t="shared" si="423"/>
        <v>350</v>
      </c>
      <c r="Z284" s="191">
        <f t="shared" si="424"/>
        <v>0.58601117528843016</v>
      </c>
      <c r="AA284" s="153">
        <f t="shared" si="425"/>
        <v>1.7978149633522333</v>
      </c>
      <c r="AB284" s="153">
        <f t="shared" si="426"/>
        <v>8.9211019565034411E-2</v>
      </c>
      <c r="AC284" s="153"/>
      <c r="AD284" s="153">
        <f t="shared" si="427"/>
        <v>0.46018276762402083</v>
      </c>
      <c r="AE284" s="317">
        <f t="shared" si="428"/>
        <v>1970.2316784869981</v>
      </c>
      <c r="AF284" s="463">
        <f t="shared" si="429"/>
        <v>1.2079797650130546E-2</v>
      </c>
      <c r="AH284" s="153">
        <f t="shared" si="430"/>
        <v>0.50625269709214382</v>
      </c>
      <c r="AI284" s="153">
        <f t="shared" si="431"/>
        <v>0.50625269709214382</v>
      </c>
      <c r="AJ284" s="153">
        <f t="shared" si="432"/>
        <v>1.4638908867349212</v>
      </c>
      <c r="AL284" s="317">
        <f t="shared" si="433"/>
        <v>68</v>
      </c>
      <c r="AM284" s="147">
        <f t="shared" si="434"/>
        <v>350</v>
      </c>
      <c r="AO284">
        <f t="shared" si="435"/>
        <v>68</v>
      </c>
      <c r="AP284">
        <f t="shared" si="436"/>
        <v>350</v>
      </c>
      <c r="AR284" s="5">
        <f t="shared" si="406"/>
        <v>2.8571428571428572</v>
      </c>
      <c r="AS284" s="5">
        <f t="shared" si="385"/>
        <v>0.91514910628195223</v>
      </c>
      <c r="AT284" s="5">
        <f t="shared" si="386"/>
        <v>1.9419937508609051</v>
      </c>
      <c r="AU284" s="153">
        <f t="shared" si="387"/>
        <v>0.32030218719868325</v>
      </c>
      <c r="CI284" s="59">
        <f t="shared" si="437"/>
        <v>-50</v>
      </c>
    </row>
    <row r="285" spans="5:87" x14ac:dyDescent="0.25">
      <c r="E285" s="150">
        <v>69</v>
      </c>
      <c r="F285" s="191">
        <f t="shared" si="438"/>
        <v>6.8999999999999992E-2</v>
      </c>
      <c r="G285" s="191">
        <f t="shared" si="407"/>
        <v>6.8999999999999992E-2</v>
      </c>
      <c r="H285" s="191">
        <f t="shared" si="408"/>
        <v>1.0349999999999999</v>
      </c>
      <c r="I285" s="191">
        <f t="shared" si="409"/>
        <v>1.1039999999999999</v>
      </c>
      <c r="J285" s="472">
        <f t="shared" si="410"/>
        <v>26</v>
      </c>
      <c r="K285" s="386">
        <f t="shared" si="411"/>
        <v>15.32</v>
      </c>
      <c r="L285" s="386">
        <f t="shared" si="412"/>
        <v>41.32</v>
      </c>
      <c r="M285" s="386"/>
      <c r="N285" s="191">
        <f t="shared" si="413"/>
        <v>0.37076476282671827</v>
      </c>
      <c r="O285" s="152">
        <f t="shared" si="414"/>
        <v>1.574255222808606</v>
      </c>
      <c r="P285" s="152">
        <f t="shared" si="415"/>
        <v>3.4703581800580832</v>
      </c>
      <c r="Q285" s="191">
        <f t="shared" si="416"/>
        <v>0.1049503481872404</v>
      </c>
      <c r="R285" s="191">
        <f t="shared" si="417"/>
        <v>9.8390951425537873E-2</v>
      </c>
      <c r="S285" s="191">
        <f t="shared" si="418"/>
        <v>15</v>
      </c>
      <c r="T285" s="191">
        <f t="shared" si="419"/>
        <v>0.49309031264644831</v>
      </c>
      <c r="U285" s="191">
        <f t="shared" si="420"/>
        <v>0.89135556516857961</v>
      </c>
      <c r="V285" s="191">
        <f t="shared" si="421"/>
        <v>1.5127444317482421</v>
      </c>
      <c r="W285" s="175">
        <f t="shared" si="422"/>
        <v>350</v>
      </c>
      <c r="X285" s="386">
        <f t="shared" si="423"/>
        <v>350</v>
      </c>
      <c r="Z285" s="191">
        <f t="shared" si="424"/>
        <v>0.58601117528843016</v>
      </c>
      <c r="AA285" s="153">
        <f t="shared" si="425"/>
        <v>1.7978149633522333</v>
      </c>
      <c r="AB285" s="153">
        <f t="shared" si="426"/>
        <v>8.9211019565034411E-2</v>
      </c>
      <c r="AC285" s="153"/>
      <c r="AD285" s="153">
        <f t="shared" si="427"/>
        <v>0.46018276762402083</v>
      </c>
      <c r="AE285" s="317">
        <f t="shared" si="428"/>
        <v>1999.2056737588655</v>
      </c>
      <c r="AF285" s="463">
        <f t="shared" si="429"/>
        <v>1.2079797650130546E-2</v>
      </c>
      <c r="AH285" s="153">
        <f t="shared" si="430"/>
        <v>0.50996155764288376</v>
      </c>
      <c r="AI285" s="153">
        <f t="shared" si="431"/>
        <v>0.50996155764288376</v>
      </c>
      <c r="AJ285" s="153">
        <f t="shared" si="432"/>
        <v>1.4666381908465804</v>
      </c>
      <c r="AL285" s="317">
        <f t="shared" si="433"/>
        <v>68.999999999999986</v>
      </c>
      <c r="AM285" s="147">
        <f t="shared" si="434"/>
        <v>350</v>
      </c>
      <c r="AO285">
        <f t="shared" si="435"/>
        <v>68.999999999999986</v>
      </c>
      <c r="AP285">
        <f t="shared" si="436"/>
        <v>350</v>
      </c>
      <c r="AR285" s="5">
        <f t="shared" si="406"/>
        <v>2.8571428571428572</v>
      </c>
      <c r="AS285" s="5">
        <f t="shared" si="385"/>
        <v>0.92185358496982828</v>
      </c>
      <c r="AT285" s="5">
        <f t="shared" si="386"/>
        <v>1.935289272173029</v>
      </c>
      <c r="AU285" s="153">
        <f t="shared" si="387"/>
        <v>0.32264875473943988</v>
      </c>
      <c r="CI285" s="59">
        <f t="shared" si="437"/>
        <v>-50</v>
      </c>
    </row>
    <row r="286" spans="5:87" x14ac:dyDescent="0.25">
      <c r="E286" s="150">
        <v>70</v>
      </c>
      <c r="F286" s="191">
        <f t="shared" si="438"/>
        <v>6.9999999999999993E-2</v>
      </c>
      <c r="G286" s="191">
        <f t="shared" si="407"/>
        <v>6.9999999999999993E-2</v>
      </c>
      <c r="H286" s="191">
        <f t="shared" si="408"/>
        <v>1.0499999999999998</v>
      </c>
      <c r="I286" s="191">
        <f t="shared" si="409"/>
        <v>1.1199999999999999</v>
      </c>
      <c r="J286" s="472">
        <f t="shared" si="410"/>
        <v>26</v>
      </c>
      <c r="K286" s="386">
        <f t="shared" si="411"/>
        <v>15.32</v>
      </c>
      <c r="L286" s="386">
        <f t="shared" si="412"/>
        <v>41.32</v>
      </c>
      <c r="M286" s="386"/>
      <c r="N286" s="191">
        <f t="shared" si="413"/>
        <v>0.37076476282671827</v>
      </c>
      <c r="O286" s="152">
        <f t="shared" si="414"/>
        <v>1.574255222808606</v>
      </c>
      <c r="P286" s="152">
        <f t="shared" si="415"/>
        <v>3.4703581800580832</v>
      </c>
      <c r="Q286" s="191">
        <f t="shared" si="416"/>
        <v>0.1049503481872404</v>
      </c>
      <c r="R286" s="191">
        <f t="shared" si="417"/>
        <v>9.8390951425537873E-2</v>
      </c>
      <c r="S286" s="191">
        <f t="shared" si="418"/>
        <v>15</v>
      </c>
      <c r="T286" s="191">
        <f t="shared" si="419"/>
        <v>0.5002365490616143</v>
      </c>
      <c r="U286" s="191">
        <f t="shared" si="420"/>
        <v>0.90427376176522578</v>
      </c>
      <c r="V286" s="191">
        <f t="shared" si="421"/>
        <v>1.5346682640924196</v>
      </c>
      <c r="W286" s="175">
        <f t="shared" si="422"/>
        <v>350</v>
      </c>
      <c r="X286" s="386">
        <f t="shared" si="423"/>
        <v>350</v>
      </c>
      <c r="Z286" s="191">
        <f t="shared" si="424"/>
        <v>0.58601117528843016</v>
      </c>
      <c r="AA286" s="153">
        <f t="shared" si="425"/>
        <v>1.7978149633522333</v>
      </c>
      <c r="AB286" s="153">
        <f t="shared" si="426"/>
        <v>8.9211019565034411E-2</v>
      </c>
      <c r="AC286" s="153"/>
      <c r="AD286" s="153">
        <f t="shared" si="427"/>
        <v>0.46018276762402083</v>
      </c>
      <c r="AE286" s="317">
        <f t="shared" si="428"/>
        <v>2028.1796690307331</v>
      </c>
      <c r="AF286" s="463">
        <f t="shared" si="429"/>
        <v>1.2079797650130546E-2</v>
      </c>
      <c r="AH286" s="153">
        <f t="shared" si="430"/>
        <v>0.51364363836617555</v>
      </c>
      <c r="AI286" s="153">
        <f t="shared" si="431"/>
        <v>0.51364363836617555</v>
      </c>
      <c r="AJ286" s="153">
        <f t="shared" si="432"/>
        <v>1.4693656580490189</v>
      </c>
      <c r="AL286" s="317">
        <f t="shared" si="433"/>
        <v>69.999999999999986</v>
      </c>
      <c r="AM286" s="147">
        <f t="shared" si="434"/>
        <v>350</v>
      </c>
      <c r="AO286">
        <f t="shared" si="435"/>
        <v>69.999999999999986</v>
      </c>
      <c r="AP286">
        <f t="shared" si="436"/>
        <v>350</v>
      </c>
      <c r="AR286" s="5">
        <f t="shared" si="406"/>
        <v>2.8571428571428572</v>
      </c>
      <c r="AS286" s="5">
        <f t="shared" si="385"/>
        <v>0.92850965396962493</v>
      </c>
      <c r="AT286" s="5">
        <f t="shared" si="386"/>
        <v>1.9286332031732323</v>
      </c>
      <c r="AU286" s="153">
        <f t="shared" si="387"/>
        <v>0.3249783788893687</v>
      </c>
      <c r="CI286" s="59">
        <f t="shared" si="437"/>
        <v>-50</v>
      </c>
    </row>
    <row r="287" spans="5:87" x14ac:dyDescent="0.25">
      <c r="E287" s="150">
        <v>71</v>
      </c>
      <c r="F287" s="191">
        <f t="shared" si="438"/>
        <v>7.0999999999999994E-2</v>
      </c>
      <c r="G287" s="191">
        <f t="shared" si="407"/>
        <v>7.0999999999999994E-2</v>
      </c>
      <c r="H287" s="191">
        <f t="shared" si="408"/>
        <v>1.0649999999999999</v>
      </c>
      <c r="I287" s="191">
        <f t="shared" si="409"/>
        <v>1.1359999999999999</v>
      </c>
      <c r="J287" s="472">
        <f t="shared" si="410"/>
        <v>26</v>
      </c>
      <c r="K287" s="386">
        <f t="shared" si="411"/>
        <v>15.32</v>
      </c>
      <c r="L287" s="386">
        <f t="shared" si="412"/>
        <v>41.32</v>
      </c>
      <c r="M287" s="386"/>
      <c r="N287" s="191">
        <f t="shared" si="413"/>
        <v>0.37076476282671827</v>
      </c>
      <c r="O287" s="152">
        <f t="shared" si="414"/>
        <v>1.574255222808606</v>
      </c>
      <c r="P287" s="152">
        <f t="shared" si="415"/>
        <v>3.4703581800580832</v>
      </c>
      <c r="Q287" s="191">
        <f t="shared" si="416"/>
        <v>0.1049503481872404</v>
      </c>
      <c r="R287" s="191">
        <f t="shared" si="417"/>
        <v>9.8390951425537873E-2</v>
      </c>
      <c r="S287" s="191">
        <f t="shared" si="418"/>
        <v>15</v>
      </c>
      <c r="T287" s="191">
        <f t="shared" si="419"/>
        <v>0.50738278547678017</v>
      </c>
      <c r="U287" s="191">
        <f t="shared" si="420"/>
        <v>0.91719195836187173</v>
      </c>
      <c r="V287" s="191">
        <f t="shared" si="421"/>
        <v>1.5565920964365969</v>
      </c>
      <c r="W287" s="175">
        <f t="shared" si="422"/>
        <v>350</v>
      </c>
      <c r="X287" s="386">
        <f t="shared" si="423"/>
        <v>350</v>
      </c>
      <c r="Z287" s="191">
        <f t="shared" si="424"/>
        <v>0.58601117528843016</v>
      </c>
      <c r="AA287" s="153">
        <f t="shared" si="425"/>
        <v>1.7978149633522333</v>
      </c>
      <c r="AB287" s="153">
        <f t="shared" si="426"/>
        <v>8.9211019565034411E-2</v>
      </c>
      <c r="AC287" s="153"/>
      <c r="AD287" s="153">
        <f t="shared" si="427"/>
        <v>0.46018276762402083</v>
      </c>
      <c r="AE287" s="317">
        <f t="shared" si="428"/>
        <v>2057.1536643026006</v>
      </c>
      <c r="AF287" s="463">
        <f t="shared" si="429"/>
        <v>1.2079797650130546E-2</v>
      </c>
      <c r="AH287" s="153">
        <f t="shared" si="430"/>
        <v>0.5172995111098877</v>
      </c>
      <c r="AI287" s="153">
        <f t="shared" si="431"/>
        <v>0.5172995111098877</v>
      </c>
      <c r="AJ287" s="153">
        <f t="shared" si="432"/>
        <v>1.4720737119332501</v>
      </c>
      <c r="AL287" s="317">
        <f t="shared" si="433"/>
        <v>71</v>
      </c>
      <c r="AM287" s="147">
        <f t="shared" si="434"/>
        <v>350</v>
      </c>
      <c r="AO287">
        <f t="shared" si="435"/>
        <v>71</v>
      </c>
      <c r="AP287">
        <f t="shared" si="436"/>
        <v>350</v>
      </c>
      <c r="AR287" s="5">
        <f t="shared" si="406"/>
        <v>2.8571428571428572</v>
      </c>
      <c r="AS287" s="5">
        <f t="shared" si="385"/>
        <v>0.93511834700633545</v>
      </c>
      <c r="AT287" s="5">
        <f t="shared" si="386"/>
        <v>1.9220245101365219</v>
      </c>
      <c r="AU287" s="153">
        <f t="shared" si="387"/>
        <v>0.3272914214522174</v>
      </c>
      <c r="CI287" s="59">
        <f t="shared" si="437"/>
        <v>-50</v>
      </c>
    </row>
    <row r="288" spans="5:87" x14ac:dyDescent="0.25">
      <c r="E288" s="150">
        <v>72</v>
      </c>
      <c r="F288" s="191">
        <f t="shared" si="438"/>
        <v>7.1999999999999995E-2</v>
      </c>
      <c r="G288" s="191">
        <f t="shared" si="407"/>
        <v>7.1999999999999995E-2</v>
      </c>
      <c r="H288" s="191">
        <f t="shared" si="408"/>
        <v>1.0799999999999998</v>
      </c>
      <c r="I288" s="191">
        <f t="shared" si="409"/>
        <v>1.1519999999999999</v>
      </c>
      <c r="J288" s="472">
        <f t="shared" si="410"/>
        <v>26</v>
      </c>
      <c r="K288" s="386">
        <f t="shared" si="411"/>
        <v>15.32</v>
      </c>
      <c r="L288" s="386">
        <f t="shared" si="412"/>
        <v>41.32</v>
      </c>
      <c r="M288" s="386"/>
      <c r="N288" s="191">
        <f t="shared" si="413"/>
        <v>0.37076476282671827</v>
      </c>
      <c r="O288" s="152">
        <f t="shared" si="414"/>
        <v>1.574255222808606</v>
      </c>
      <c r="P288" s="152">
        <f t="shared" si="415"/>
        <v>3.4703581800580832</v>
      </c>
      <c r="Q288" s="191">
        <f t="shared" si="416"/>
        <v>0.1049503481872404</v>
      </c>
      <c r="R288" s="191">
        <f t="shared" si="417"/>
        <v>9.8390951425537873E-2</v>
      </c>
      <c r="S288" s="191">
        <f t="shared" si="418"/>
        <v>15</v>
      </c>
      <c r="T288" s="191">
        <f t="shared" si="419"/>
        <v>0.51452902189194605</v>
      </c>
      <c r="U288" s="191">
        <f t="shared" si="420"/>
        <v>0.93011015495851779</v>
      </c>
      <c r="V288" s="191">
        <f t="shared" si="421"/>
        <v>1.5785159287807742</v>
      </c>
      <c r="W288" s="175">
        <f t="shared" si="422"/>
        <v>350</v>
      </c>
      <c r="X288" s="386">
        <f t="shared" si="423"/>
        <v>350</v>
      </c>
      <c r="Z288" s="191">
        <f t="shared" si="424"/>
        <v>0.58601117528843016</v>
      </c>
      <c r="AA288" s="153">
        <f t="shared" si="425"/>
        <v>1.7978149633522333</v>
      </c>
      <c r="AB288" s="153">
        <f t="shared" si="426"/>
        <v>8.9211019565034411E-2</v>
      </c>
      <c r="AC288" s="153"/>
      <c r="AD288" s="153">
        <f t="shared" si="427"/>
        <v>0.46018276762402083</v>
      </c>
      <c r="AE288" s="317">
        <f t="shared" si="428"/>
        <v>2086.1276595744685</v>
      </c>
      <c r="AF288" s="463">
        <f t="shared" si="429"/>
        <v>1.2079797650130546E-2</v>
      </c>
      <c r="AH288" s="153">
        <f t="shared" si="430"/>
        <v>0.52092972765529055</v>
      </c>
      <c r="AI288" s="153">
        <f t="shared" si="431"/>
        <v>0.52092972765529055</v>
      </c>
      <c r="AJ288" s="153">
        <f t="shared" si="432"/>
        <v>1.4747627612261411</v>
      </c>
      <c r="AL288" s="317">
        <f t="shared" si="433"/>
        <v>72</v>
      </c>
      <c r="AM288" s="147">
        <f t="shared" si="434"/>
        <v>350</v>
      </c>
      <c r="AO288">
        <f t="shared" si="435"/>
        <v>72</v>
      </c>
      <c r="AP288">
        <f t="shared" si="436"/>
        <v>350</v>
      </c>
      <c r="AR288" s="5">
        <f t="shared" si="406"/>
        <v>2.8571428571428572</v>
      </c>
      <c r="AS288" s="5">
        <f t="shared" si="385"/>
        <v>0.94168066153071761</v>
      </c>
      <c r="AT288" s="5">
        <f t="shared" si="386"/>
        <v>1.9154621956121396</v>
      </c>
      <c r="AU288" s="153">
        <f t="shared" si="387"/>
        <v>0.32958823153575117</v>
      </c>
      <c r="CI288" s="59">
        <f t="shared" si="437"/>
        <v>-50</v>
      </c>
    </row>
    <row r="289" spans="5:87" x14ac:dyDescent="0.25">
      <c r="E289" s="150">
        <v>73</v>
      </c>
      <c r="F289" s="191">
        <f t="shared" si="438"/>
        <v>7.2999999999999995E-2</v>
      </c>
      <c r="G289" s="191">
        <f t="shared" si="407"/>
        <v>7.2999999999999995E-2</v>
      </c>
      <c r="H289" s="191">
        <f t="shared" si="408"/>
        <v>1.095</v>
      </c>
      <c r="I289" s="191">
        <f t="shared" si="409"/>
        <v>1.1679999999999999</v>
      </c>
      <c r="J289" s="472">
        <f t="shared" si="410"/>
        <v>26</v>
      </c>
      <c r="K289" s="386">
        <f t="shared" si="411"/>
        <v>15.32</v>
      </c>
      <c r="L289" s="386">
        <f t="shared" si="412"/>
        <v>41.32</v>
      </c>
      <c r="M289" s="386"/>
      <c r="N289" s="191">
        <f t="shared" si="413"/>
        <v>0.37076476282671827</v>
      </c>
      <c r="O289" s="152">
        <f t="shared" si="414"/>
        <v>1.574255222808606</v>
      </c>
      <c r="P289" s="152">
        <f t="shared" si="415"/>
        <v>3.4703581800580832</v>
      </c>
      <c r="Q289" s="191">
        <f t="shared" si="416"/>
        <v>0.1049503481872404</v>
      </c>
      <c r="R289" s="191">
        <f t="shared" si="417"/>
        <v>9.8390951425537873E-2</v>
      </c>
      <c r="S289" s="191">
        <f t="shared" si="418"/>
        <v>15</v>
      </c>
      <c r="T289" s="191">
        <f t="shared" si="419"/>
        <v>0.52167525830711203</v>
      </c>
      <c r="U289" s="191">
        <f t="shared" si="420"/>
        <v>0.94302835155516407</v>
      </c>
      <c r="V289" s="191">
        <f t="shared" si="421"/>
        <v>1.6004397611249521</v>
      </c>
      <c r="W289" s="175">
        <f t="shared" si="422"/>
        <v>350</v>
      </c>
      <c r="X289" s="386">
        <f t="shared" si="423"/>
        <v>350</v>
      </c>
      <c r="Z289" s="191">
        <f t="shared" si="424"/>
        <v>0.58601117528843016</v>
      </c>
      <c r="AA289" s="153">
        <f t="shared" si="425"/>
        <v>1.7978149633522333</v>
      </c>
      <c r="AB289" s="153">
        <f t="shared" si="426"/>
        <v>8.9211019565034411E-2</v>
      </c>
      <c r="AC289" s="153"/>
      <c r="AD289" s="153">
        <f t="shared" si="427"/>
        <v>0.46018276762402083</v>
      </c>
      <c r="AE289" s="317">
        <f t="shared" si="428"/>
        <v>2115.1016548463363</v>
      </c>
      <c r="AF289" s="463">
        <f t="shared" si="429"/>
        <v>1.2079797650130546E-2</v>
      </c>
      <c r="AH289" s="153">
        <f t="shared" si="430"/>
        <v>0.52453482068924795</v>
      </c>
      <c r="AI289" s="153">
        <f t="shared" si="431"/>
        <v>0.52453482068924795</v>
      </c>
      <c r="AJ289" s="153">
        <f t="shared" si="432"/>
        <v>1.4774332005105539</v>
      </c>
      <c r="AL289" s="317">
        <f t="shared" si="433"/>
        <v>73</v>
      </c>
      <c r="AM289" s="147">
        <f t="shared" si="434"/>
        <v>350</v>
      </c>
      <c r="AO289">
        <f t="shared" si="435"/>
        <v>73</v>
      </c>
      <c r="AP289">
        <f t="shared" si="436"/>
        <v>350</v>
      </c>
      <c r="AR289" s="5">
        <f t="shared" si="406"/>
        <v>2.8571428571428572</v>
      </c>
      <c r="AS289" s="5">
        <f t="shared" si="385"/>
        <v>0.94819756047671733</v>
      </c>
      <c r="AT289" s="5">
        <f t="shared" si="386"/>
        <v>1.9089452966661398</v>
      </c>
      <c r="AU289" s="153">
        <f t="shared" si="387"/>
        <v>0.33186914616685104</v>
      </c>
      <c r="CI289" s="59">
        <f t="shared" si="437"/>
        <v>-50</v>
      </c>
    </row>
    <row r="290" spans="5:87" x14ac:dyDescent="0.25">
      <c r="E290" s="150">
        <v>74</v>
      </c>
      <c r="F290" s="191">
        <f t="shared" si="438"/>
        <v>7.3999999999999996E-2</v>
      </c>
      <c r="G290" s="191">
        <f t="shared" si="407"/>
        <v>7.3999999999999996E-2</v>
      </c>
      <c r="H290" s="191">
        <f t="shared" si="408"/>
        <v>1.1099999999999999</v>
      </c>
      <c r="I290" s="191">
        <f t="shared" si="409"/>
        <v>1.1839999999999999</v>
      </c>
      <c r="J290" s="472">
        <f t="shared" si="410"/>
        <v>26</v>
      </c>
      <c r="K290" s="386">
        <f t="shared" si="411"/>
        <v>15.32</v>
      </c>
      <c r="L290" s="386">
        <f t="shared" si="412"/>
        <v>41.32</v>
      </c>
      <c r="M290" s="386"/>
      <c r="N290" s="191">
        <f t="shared" si="413"/>
        <v>0.37076476282671827</v>
      </c>
      <c r="O290" s="152">
        <f t="shared" si="414"/>
        <v>1.574255222808606</v>
      </c>
      <c r="P290" s="152">
        <f t="shared" si="415"/>
        <v>3.4703581800580832</v>
      </c>
      <c r="Q290" s="191">
        <f t="shared" si="416"/>
        <v>0.1049503481872404</v>
      </c>
      <c r="R290" s="191">
        <f t="shared" si="417"/>
        <v>9.8390951425537873E-2</v>
      </c>
      <c r="S290" s="191">
        <f t="shared" si="418"/>
        <v>15</v>
      </c>
      <c r="T290" s="191">
        <f t="shared" si="419"/>
        <v>0.52882149472227791</v>
      </c>
      <c r="U290" s="191">
        <f t="shared" si="420"/>
        <v>0.95594654815181002</v>
      </c>
      <c r="V290" s="191">
        <f t="shared" si="421"/>
        <v>1.6223635934691294</v>
      </c>
      <c r="W290" s="175">
        <f t="shared" si="422"/>
        <v>350</v>
      </c>
      <c r="X290" s="386">
        <f t="shared" si="423"/>
        <v>350</v>
      </c>
      <c r="Z290" s="191">
        <f t="shared" si="424"/>
        <v>0.58601117528843016</v>
      </c>
      <c r="AA290" s="153">
        <f t="shared" si="425"/>
        <v>1.7978149633522333</v>
      </c>
      <c r="AB290" s="153">
        <f t="shared" si="426"/>
        <v>8.9211019565034411E-2</v>
      </c>
      <c r="AC290" s="153"/>
      <c r="AD290" s="153">
        <f t="shared" si="427"/>
        <v>0.46018276762402083</v>
      </c>
      <c r="AE290" s="317">
        <f t="shared" si="428"/>
        <v>2144.0756501182036</v>
      </c>
      <c r="AF290" s="463">
        <f t="shared" si="429"/>
        <v>1.2079797650130546E-2</v>
      </c>
      <c r="AH290" s="153">
        <f t="shared" si="430"/>
        <v>0.52811530471667623</v>
      </c>
      <c r="AI290" s="153">
        <f t="shared" si="431"/>
        <v>0.52811530471667623</v>
      </c>
      <c r="AJ290" s="153">
        <f t="shared" si="432"/>
        <v>1.4800854109012416</v>
      </c>
      <c r="AL290" s="317">
        <f t="shared" si="433"/>
        <v>74</v>
      </c>
      <c r="AM290" s="147">
        <f t="shared" si="434"/>
        <v>350</v>
      </c>
      <c r="AO290">
        <f t="shared" si="435"/>
        <v>74</v>
      </c>
      <c r="AP290">
        <f t="shared" si="436"/>
        <v>350</v>
      </c>
      <c r="AR290" s="5">
        <f t="shared" si="406"/>
        <v>2.8571428571428572</v>
      </c>
      <c r="AS290" s="5">
        <f t="shared" si="385"/>
        <v>0.95466997391091468</v>
      </c>
      <c r="AT290" s="5">
        <f t="shared" si="386"/>
        <v>1.9024728832319426</v>
      </c>
      <c r="AU290" s="153">
        <f t="shared" si="387"/>
        <v>0.33413449086882013</v>
      </c>
      <c r="CI290" s="59">
        <f t="shared" si="437"/>
        <v>-50</v>
      </c>
    </row>
    <row r="291" spans="5:87" x14ac:dyDescent="0.25">
      <c r="E291" s="150">
        <v>75</v>
      </c>
      <c r="F291" s="191">
        <f t="shared" si="438"/>
        <v>7.5000000000000011E-2</v>
      </c>
      <c r="G291" s="191">
        <f t="shared" si="407"/>
        <v>7.5000000000000011E-2</v>
      </c>
      <c r="H291" s="191">
        <f t="shared" si="408"/>
        <v>1.1250000000000002</v>
      </c>
      <c r="I291" s="191">
        <f t="shared" si="409"/>
        <v>1.2000000000000002</v>
      </c>
      <c r="J291" s="472">
        <f t="shared" si="410"/>
        <v>26</v>
      </c>
      <c r="K291" s="386">
        <f t="shared" si="411"/>
        <v>15.32</v>
      </c>
      <c r="L291" s="386">
        <f t="shared" si="412"/>
        <v>41.32</v>
      </c>
      <c r="M291" s="386"/>
      <c r="N291" s="191">
        <f t="shared" si="413"/>
        <v>0.37076476282671827</v>
      </c>
      <c r="O291" s="152">
        <f t="shared" si="414"/>
        <v>1.574255222808606</v>
      </c>
      <c r="P291" s="152">
        <f t="shared" si="415"/>
        <v>3.4703581800580832</v>
      </c>
      <c r="Q291" s="191">
        <f t="shared" si="416"/>
        <v>0.1049503481872404</v>
      </c>
      <c r="R291" s="191">
        <f t="shared" si="417"/>
        <v>9.8390951425537873E-2</v>
      </c>
      <c r="S291" s="191">
        <f t="shared" si="418"/>
        <v>15</v>
      </c>
      <c r="T291" s="191">
        <f t="shared" si="419"/>
        <v>0.53596773113744389</v>
      </c>
      <c r="U291" s="191">
        <f t="shared" si="420"/>
        <v>0.9688647447484563</v>
      </c>
      <c r="V291" s="191">
        <f t="shared" si="421"/>
        <v>1.6442874258133069</v>
      </c>
      <c r="W291" s="175">
        <f t="shared" si="422"/>
        <v>350</v>
      </c>
      <c r="X291" s="386">
        <f t="shared" si="423"/>
        <v>350</v>
      </c>
      <c r="Z291" s="191">
        <f t="shared" si="424"/>
        <v>0.58601117528843016</v>
      </c>
      <c r="AA291" s="153">
        <f t="shared" si="425"/>
        <v>1.7978149633522333</v>
      </c>
      <c r="AB291" s="153">
        <f t="shared" si="426"/>
        <v>8.9211019565034411E-2</v>
      </c>
      <c r="AC291" s="153"/>
      <c r="AD291" s="153">
        <f t="shared" si="427"/>
        <v>0.46018276762402083</v>
      </c>
      <c r="AE291" s="317">
        <f t="shared" si="428"/>
        <v>2173.0496453900719</v>
      </c>
      <c r="AF291" s="463">
        <f t="shared" si="429"/>
        <v>1.2079797650130546E-2</v>
      </c>
      <c r="AH291" s="153">
        <f t="shared" si="430"/>
        <v>0.53167167691769535</v>
      </c>
      <c r="AI291" s="153">
        <f t="shared" si="431"/>
        <v>0.53167167691769535</v>
      </c>
      <c r="AJ291" s="153">
        <f t="shared" si="432"/>
        <v>1.4827197606797742</v>
      </c>
      <c r="AL291" s="317">
        <f t="shared" si="433"/>
        <v>75.000000000000014</v>
      </c>
      <c r="AM291" s="147">
        <f t="shared" si="434"/>
        <v>350</v>
      </c>
      <c r="AO291">
        <f t="shared" si="435"/>
        <v>75.000000000000014</v>
      </c>
      <c r="AP291">
        <f t="shared" si="436"/>
        <v>350</v>
      </c>
      <c r="AR291" s="5">
        <f t="shared" si="406"/>
        <v>2.8571428571428572</v>
      </c>
      <c r="AS291" s="5">
        <f t="shared" si="385"/>
        <v>0.96109880058198771</v>
      </c>
      <c r="AT291" s="5">
        <f t="shared" si="386"/>
        <v>1.8960440565608696</v>
      </c>
      <c r="AU291" s="153">
        <f t="shared" si="387"/>
        <v>0.33638458020369572</v>
      </c>
      <c r="CI291" s="59">
        <f t="shared" si="437"/>
        <v>-50</v>
      </c>
    </row>
    <row r="292" spans="5:87" x14ac:dyDescent="0.25">
      <c r="E292" s="150">
        <v>76</v>
      </c>
      <c r="F292" s="191">
        <f t="shared" si="438"/>
        <v>7.6000000000000012E-2</v>
      </c>
      <c r="G292" s="191">
        <f t="shared" si="407"/>
        <v>7.6000000000000012E-2</v>
      </c>
      <c r="H292" s="191">
        <f t="shared" si="408"/>
        <v>1.1400000000000001</v>
      </c>
      <c r="I292" s="191">
        <f t="shared" si="409"/>
        <v>1.2160000000000002</v>
      </c>
      <c r="J292" s="472">
        <f t="shared" si="410"/>
        <v>26</v>
      </c>
      <c r="K292" s="386">
        <f t="shared" si="411"/>
        <v>15.32</v>
      </c>
      <c r="L292" s="386">
        <f t="shared" si="412"/>
        <v>41.32</v>
      </c>
      <c r="M292" s="386"/>
      <c r="N292" s="191">
        <f t="shared" si="413"/>
        <v>0.37076476282671827</v>
      </c>
      <c r="O292" s="152">
        <f t="shared" si="414"/>
        <v>1.574255222808606</v>
      </c>
      <c r="P292" s="152">
        <f t="shared" si="415"/>
        <v>3.4703581800580832</v>
      </c>
      <c r="Q292" s="191">
        <f t="shared" si="416"/>
        <v>0.1049503481872404</v>
      </c>
      <c r="R292" s="191">
        <f t="shared" si="417"/>
        <v>9.8390951425537873E-2</v>
      </c>
      <c r="S292" s="191">
        <f t="shared" si="418"/>
        <v>15</v>
      </c>
      <c r="T292" s="191">
        <f t="shared" si="419"/>
        <v>0.54311396755260988</v>
      </c>
      <c r="U292" s="191">
        <f t="shared" si="420"/>
        <v>0.98178294134510258</v>
      </c>
      <c r="V292" s="191">
        <f t="shared" si="421"/>
        <v>1.6662112581574846</v>
      </c>
      <c r="W292" s="175">
        <f t="shared" si="422"/>
        <v>350</v>
      </c>
      <c r="X292" s="386">
        <f t="shared" si="423"/>
        <v>350</v>
      </c>
      <c r="Z292" s="191">
        <f t="shared" si="424"/>
        <v>0.58601117528843016</v>
      </c>
      <c r="AA292" s="153">
        <f t="shared" si="425"/>
        <v>1.7978149633522333</v>
      </c>
      <c r="AB292" s="153">
        <f t="shared" si="426"/>
        <v>8.9211019565034411E-2</v>
      </c>
      <c r="AC292" s="153"/>
      <c r="AD292" s="153">
        <f t="shared" si="427"/>
        <v>0.46018276762402083</v>
      </c>
      <c r="AE292" s="317">
        <f t="shared" si="428"/>
        <v>2202.0236406619397</v>
      </c>
      <c r="AF292" s="463">
        <f t="shared" si="429"/>
        <v>1.2079797650130546E-2</v>
      </c>
      <c r="AH292" s="153">
        <f t="shared" si="430"/>
        <v>0.53520441795351481</v>
      </c>
      <c r="AI292" s="153">
        <f t="shared" si="431"/>
        <v>0.53520441795351481</v>
      </c>
      <c r="AJ292" s="153">
        <f t="shared" si="432"/>
        <v>1.4853366058914923</v>
      </c>
      <c r="AL292" s="317">
        <f t="shared" si="433"/>
        <v>76.000000000000014</v>
      </c>
      <c r="AM292" s="147">
        <f t="shared" si="434"/>
        <v>350</v>
      </c>
      <c r="AO292">
        <f t="shared" si="435"/>
        <v>76.000000000000014</v>
      </c>
      <c r="AP292">
        <f t="shared" si="436"/>
        <v>350</v>
      </c>
      <c r="AR292" s="5">
        <f t="shared" si="406"/>
        <v>2.8571428571428572</v>
      </c>
      <c r="AS292" s="5">
        <f t="shared" si="385"/>
        <v>0.96748490937750764</v>
      </c>
      <c r="AT292" s="5">
        <f t="shared" si="386"/>
        <v>1.8896579477653495</v>
      </c>
      <c r="AU292" s="153">
        <f t="shared" si="387"/>
        <v>0.33861971828212767</v>
      </c>
      <c r="CI292" s="59">
        <f t="shared" si="437"/>
        <v>-50</v>
      </c>
    </row>
    <row r="293" spans="5:87" x14ac:dyDescent="0.25">
      <c r="E293" s="150">
        <v>77</v>
      </c>
      <c r="F293" s="191">
        <f t="shared" si="438"/>
        <v>7.7000000000000013E-2</v>
      </c>
      <c r="G293" s="191">
        <f t="shared" si="407"/>
        <v>7.7000000000000013E-2</v>
      </c>
      <c r="H293" s="191">
        <f t="shared" si="408"/>
        <v>1.1550000000000002</v>
      </c>
      <c r="I293" s="191">
        <f t="shared" si="409"/>
        <v>1.2320000000000002</v>
      </c>
      <c r="J293" s="472">
        <f t="shared" si="410"/>
        <v>26</v>
      </c>
      <c r="K293" s="386">
        <f t="shared" si="411"/>
        <v>15.32</v>
      </c>
      <c r="L293" s="386">
        <f t="shared" si="412"/>
        <v>41.32</v>
      </c>
      <c r="M293" s="386"/>
      <c r="N293" s="191">
        <f t="shared" si="413"/>
        <v>0.37076476282671827</v>
      </c>
      <c r="O293" s="152">
        <f t="shared" si="414"/>
        <v>1.574255222808606</v>
      </c>
      <c r="P293" s="152">
        <f t="shared" si="415"/>
        <v>3.4703581800580832</v>
      </c>
      <c r="Q293" s="191">
        <f t="shared" si="416"/>
        <v>0.1049503481872404</v>
      </c>
      <c r="R293" s="191">
        <f t="shared" si="417"/>
        <v>9.8390951425537873E-2</v>
      </c>
      <c r="S293" s="191">
        <f t="shared" si="418"/>
        <v>15</v>
      </c>
      <c r="T293" s="191">
        <f t="shared" si="419"/>
        <v>0.55026020396777586</v>
      </c>
      <c r="U293" s="191">
        <f t="shared" si="420"/>
        <v>0.99470113794174853</v>
      </c>
      <c r="V293" s="191">
        <f t="shared" si="421"/>
        <v>1.6881350905016621</v>
      </c>
      <c r="W293" s="175">
        <f t="shared" si="422"/>
        <v>350</v>
      </c>
      <c r="X293" s="386">
        <f t="shared" si="423"/>
        <v>350</v>
      </c>
      <c r="Z293" s="191">
        <f t="shared" si="424"/>
        <v>0.58601117528843016</v>
      </c>
      <c r="AA293" s="153">
        <f t="shared" si="425"/>
        <v>1.7978149633522333</v>
      </c>
      <c r="AB293" s="153">
        <f t="shared" si="426"/>
        <v>8.9211019565034411E-2</v>
      </c>
      <c r="AC293" s="153"/>
      <c r="AD293" s="153">
        <f t="shared" si="427"/>
        <v>0.46018276762402083</v>
      </c>
      <c r="AE293" s="317">
        <f t="shared" si="428"/>
        <v>2230.997635933807</v>
      </c>
      <c r="AF293" s="463">
        <f t="shared" si="429"/>
        <v>1.2079797650130546E-2</v>
      </c>
      <c r="AH293" s="153">
        <f t="shared" si="430"/>
        <v>0.53871399272475451</v>
      </c>
      <c r="AI293" s="153">
        <f t="shared" si="431"/>
        <v>0.53871399272475451</v>
      </c>
      <c r="AJ293" s="153">
        <f t="shared" si="432"/>
        <v>1.4879362909072256</v>
      </c>
      <c r="AL293" s="317">
        <f t="shared" si="433"/>
        <v>77.000000000000014</v>
      </c>
      <c r="AM293" s="147">
        <f t="shared" si="434"/>
        <v>350</v>
      </c>
      <c r="AO293">
        <f t="shared" si="435"/>
        <v>77.000000000000014</v>
      </c>
      <c r="AP293">
        <f t="shared" si="436"/>
        <v>350</v>
      </c>
      <c r="AR293" s="5">
        <f t="shared" si="406"/>
        <v>2.8571428571428572</v>
      </c>
      <c r="AS293" s="5">
        <f t="shared" si="385"/>
        <v>0.97382914069474846</v>
      </c>
      <c r="AT293" s="5">
        <f t="shared" si="386"/>
        <v>1.8833137164481086</v>
      </c>
      <c r="AU293" s="153">
        <f t="shared" si="387"/>
        <v>0.34084019924316195</v>
      </c>
      <c r="CI293" s="59">
        <f t="shared" si="437"/>
        <v>-50</v>
      </c>
    </row>
    <row r="294" spans="5:87" x14ac:dyDescent="0.25">
      <c r="E294" s="150">
        <v>78</v>
      </c>
      <c r="F294" s="191">
        <f t="shared" si="438"/>
        <v>7.8000000000000014E-2</v>
      </c>
      <c r="G294" s="191">
        <f t="shared" si="407"/>
        <v>7.8000000000000014E-2</v>
      </c>
      <c r="H294" s="191">
        <f t="shared" si="408"/>
        <v>1.1700000000000002</v>
      </c>
      <c r="I294" s="191">
        <f t="shared" si="409"/>
        <v>1.2480000000000002</v>
      </c>
      <c r="J294" s="472">
        <f t="shared" si="410"/>
        <v>26</v>
      </c>
      <c r="K294" s="386">
        <f t="shared" si="411"/>
        <v>15.32</v>
      </c>
      <c r="L294" s="386">
        <f t="shared" si="412"/>
        <v>41.32</v>
      </c>
      <c r="M294" s="386"/>
      <c r="N294" s="191">
        <f t="shared" si="413"/>
        <v>0.37076476282671827</v>
      </c>
      <c r="O294" s="152">
        <f t="shared" si="414"/>
        <v>1.574255222808606</v>
      </c>
      <c r="P294" s="152">
        <f t="shared" si="415"/>
        <v>3.4703581800580832</v>
      </c>
      <c r="Q294" s="191">
        <f t="shared" si="416"/>
        <v>0.1049503481872404</v>
      </c>
      <c r="R294" s="191">
        <f t="shared" si="417"/>
        <v>9.8390951425537873E-2</v>
      </c>
      <c r="S294" s="191">
        <f t="shared" si="418"/>
        <v>15</v>
      </c>
      <c r="T294" s="191">
        <f t="shared" si="419"/>
        <v>0.55740644038294163</v>
      </c>
      <c r="U294" s="191">
        <f t="shared" si="420"/>
        <v>1.0076193345383944</v>
      </c>
      <c r="V294" s="191">
        <f t="shared" si="421"/>
        <v>1.7100589228458392</v>
      </c>
      <c r="W294" s="175">
        <f t="shared" si="422"/>
        <v>350</v>
      </c>
      <c r="X294" s="386">
        <f t="shared" si="423"/>
        <v>350</v>
      </c>
      <c r="Z294" s="191">
        <f t="shared" si="424"/>
        <v>0.58601117528843016</v>
      </c>
      <c r="AA294" s="153">
        <f t="shared" si="425"/>
        <v>1.7978149633522333</v>
      </c>
      <c r="AB294" s="153">
        <f t="shared" si="426"/>
        <v>8.9211019565034411E-2</v>
      </c>
      <c r="AC294" s="153"/>
      <c r="AD294" s="153">
        <f t="shared" si="427"/>
        <v>0.46018276762402083</v>
      </c>
      <c r="AE294" s="317">
        <f t="shared" si="428"/>
        <v>2259.9716312056748</v>
      </c>
      <c r="AF294" s="463">
        <f t="shared" si="429"/>
        <v>1.2079797650130546E-2</v>
      </c>
      <c r="AH294" s="153">
        <f t="shared" si="430"/>
        <v>0.54220085108558536</v>
      </c>
      <c r="AI294" s="153">
        <f t="shared" si="431"/>
        <v>0.54220085108558536</v>
      </c>
      <c r="AJ294" s="153">
        <f t="shared" si="432"/>
        <v>1.4905191489522853</v>
      </c>
      <c r="AL294" s="317">
        <f t="shared" si="433"/>
        <v>78.000000000000014</v>
      </c>
      <c r="AM294" s="147">
        <f t="shared" si="434"/>
        <v>350</v>
      </c>
      <c r="AO294">
        <f t="shared" si="435"/>
        <v>78.000000000000014</v>
      </c>
      <c r="AP294">
        <f t="shared" si="436"/>
        <v>350</v>
      </c>
      <c r="AR294" s="5">
        <f t="shared" si="406"/>
        <v>2.8571428571428572</v>
      </c>
      <c r="AS294" s="5">
        <f t="shared" si="385"/>
        <v>0.98013230773163507</v>
      </c>
      <c r="AT294" s="5">
        <f t="shared" si="386"/>
        <v>1.8770105494112221</v>
      </c>
      <c r="AU294" s="153">
        <f t="shared" si="387"/>
        <v>0.34304630770607225</v>
      </c>
      <c r="CI294" s="59">
        <f t="shared" si="437"/>
        <v>-50</v>
      </c>
    </row>
    <row r="295" spans="5:87" x14ac:dyDescent="0.25">
      <c r="E295" s="150">
        <v>79</v>
      </c>
      <c r="F295" s="191">
        <f t="shared" si="438"/>
        <v>7.9000000000000015E-2</v>
      </c>
      <c r="G295" s="191">
        <f t="shared" si="407"/>
        <v>7.9000000000000015E-2</v>
      </c>
      <c r="H295" s="191">
        <f t="shared" si="408"/>
        <v>1.1850000000000003</v>
      </c>
      <c r="I295" s="191">
        <f t="shared" si="409"/>
        <v>1.2640000000000002</v>
      </c>
      <c r="J295" s="472">
        <f t="shared" si="410"/>
        <v>26</v>
      </c>
      <c r="K295" s="386">
        <f t="shared" si="411"/>
        <v>15.32</v>
      </c>
      <c r="L295" s="386">
        <f t="shared" si="412"/>
        <v>41.32</v>
      </c>
      <c r="M295" s="386"/>
      <c r="N295" s="191">
        <f t="shared" si="413"/>
        <v>0.37076476282671827</v>
      </c>
      <c r="O295" s="152">
        <f t="shared" si="414"/>
        <v>1.574255222808606</v>
      </c>
      <c r="P295" s="152">
        <f t="shared" si="415"/>
        <v>3.4703581800580832</v>
      </c>
      <c r="Q295" s="191">
        <f t="shared" si="416"/>
        <v>0.1049503481872404</v>
      </c>
      <c r="R295" s="191">
        <f t="shared" si="417"/>
        <v>9.8390951425537873E-2</v>
      </c>
      <c r="S295" s="191">
        <f t="shared" si="418"/>
        <v>15</v>
      </c>
      <c r="T295" s="191">
        <f t="shared" si="419"/>
        <v>0.56455267679810772</v>
      </c>
      <c r="U295" s="191">
        <f t="shared" si="420"/>
        <v>1.0205375311350409</v>
      </c>
      <c r="V295" s="191">
        <f t="shared" si="421"/>
        <v>1.7319827551900169</v>
      </c>
      <c r="W295" s="175">
        <f t="shared" si="422"/>
        <v>350</v>
      </c>
      <c r="X295" s="386">
        <f t="shared" si="423"/>
        <v>350</v>
      </c>
      <c r="Z295" s="191">
        <f t="shared" si="424"/>
        <v>0.58601117528843016</v>
      </c>
      <c r="AA295" s="153">
        <f t="shared" si="425"/>
        <v>1.7978149633522333</v>
      </c>
      <c r="AB295" s="153">
        <f t="shared" si="426"/>
        <v>8.9211019565034411E-2</v>
      </c>
      <c r="AC295" s="153"/>
      <c r="AD295" s="153">
        <f t="shared" si="427"/>
        <v>0.46018276762402083</v>
      </c>
      <c r="AE295" s="317">
        <f t="shared" si="428"/>
        <v>2288.9456264775422</v>
      </c>
      <c r="AF295" s="463">
        <f t="shared" si="429"/>
        <v>1.2079797650130546E-2</v>
      </c>
      <c r="AH295" s="153">
        <f t="shared" si="430"/>
        <v>0.54566542851679689</v>
      </c>
      <c r="AI295" s="153">
        <f t="shared" si="431"/>
        <v>0.54566542851679689</v>
      </c>
      <c r="AJ295" s="153">
        <f t="shared" si="432"/>
        <v>1.4930855026050347</v>
      </c>
      <c r="AL295" s="317">
        <f t="shared" si="433"/>
        <v>79.000000000000014</v>
      </c>
      <c r="AM295" s="147">
        <f t="shared" si="434"/>
        <v>350</v>
      </c>
      <c r="AO295">
        <f t="shared" si="435"/>
        <v>79.000000000000014</v>
      </c>
      <c r="AP295">
        <f t="shared" si="436"/>
        <v>350</v>
      </c>
      <c r="AR295" s="5">
        <f t="shared" si="406"/>
        <v>2.8571428571428572</v>
      </c>
      <c r="AS295" s="5">
        <f t="shared" si="385"/>
        <v>0.98639519770344053</v>
      </c>
      <c r="AT295" s="5">
        <f t="shared" si="386"/>
        <v>1.8707476594394166</v>
      </c>
      <c r="AU295" s="153">
        <f t="shared" si="387"/>
        <v>0.34523831919620418</v>
      </c>
      <c r="CI295" s="59">
        <f t="shared" si="437"/>
        <v>-50</v>
      </c>
    </row>
    <row r="296" spans="5:87" x14ac:dyDescent="0.25">
      <c r="E296" s="150">
        <v>80</v>
      </c>
      <c r="F296" s="191">
        <f t="shared" si="438"/>
        <v>8.0000000000000016E-2</v>
      </c>
      <c r="G296" s="191">
        <f t="shared" si="407"/>
        <v>8.0000000000000016E-2</v>
      </c>
      <c r="H296" s="191">
        <f t="shared" si="408"/>
        <v>1.2000000000000002</v>
      </c>
      <c r="I296" s="191">
        <f t="shared" si="409"/>
        <v>1.2800000000000002</v>
      </c>
      <c r="J296" s="472">
        <f t="shared" si="410"/>
        <v>26</v>
      </c>
      <c r="K296" s="386">
        <f t="shared" si="411"/>
        <v>15.32</v>
      </c>
      <c r="L296" s="386">
        <f t="shared" si="412"/>
        <v>41.32</v>
      </c>
      <c r="M296" s="386"/>
      <c r="N296" s="191">
        <f t="shared" si="413"/>
        <v>0.37076476282671827</v>
      </c>
      <c r="O296" s="152">
        <f t="shared" si="414"/>
        <v>1.574255222808606</v>
      </c>
      <c r="P296" s="152">
        <f t="shared" si="415"/>
        <v>3.4703581800580832</v>
      </c>
      <c r="Q296" s="191">
        <f t="shared" si="416"/>
        <v>0.1049503481872404</v>
      </c>
      <c r="R296" s="191">
        <f t="shared" si="417"/>
        <v>9.8390951425537873E-2</v>
      </c>
      <c r="S296" s="191">
        <f t="shared" si="418"/>
        <v>15</v>
      </c>
      <c r="T296" s="191">
        <f t="shared" si="419"/>
        <v>0.5716989132132736</v>
      </c>
      <c r="U296" s="191">
        <f t="shared" si="420"/>
        <v>1.0334557277316867</v>
      </c>
      <c r="V296" s="191">
        <f t="shared" si="421"/>
        <v>1.7539065875341942</v>
      </c>
      <c r="W296" s="175">
        <f t="shared" si="422"/>
        <v>350</v>
      </c>
      <c r="X296" s="386">
        <f t="shared" si="423"/>
        <v>350</v>
      </c>
      <c r="Z296" s="191">
        <f t="shared" si="424"/>
        <v>0.58601117528843016</v>
      </c>
      <c r="AA296" s="153">
        <f t="shared" si="425"/>
        <v>1.7978149633522333</v>
      </c>
      <c r="AB296" s="153">
        <f t="shared" si="426"/>
        <v>8.9211019565034411E-2</v>
      </c>
      <c r="AC296" s="153"/>
      <c r="AD296" s="153">
        <f t="shared" si="427"/>
        <v>0.46018276762402083</v>
      </c>
      <c r="AE296" s="317">
        <f t="shared" si="428"/>
        <v>2317.91962174941</v>
      </c>
      <c r="AF296" s="463">
        <f t="shared" si="429"/>
        <v>1.2079797650130546E-2</v>
      </c>
      <c r="AH296" s="153">
        <f t="shared" si="430"/>
        <v>0.54910814676064124</v>
      </c>
      <c r="AI296" s="153">
        <f t="shared" si="431"/>
        <v>0.54910814676064124</v>
      </c>
      <c r="AJ296" s="153">
        <f t="shared" si="432"/>
        <v>1.4956356642671416</v>
      </c>
      <c r="AL296" s="317">
        <f t="shared" si="433"/>
        <v>80.000000000000014</v>
      </c>
      <c r="AM296" s="147">
        <f t="shared" si="434"/>
        <v>350</v>
      </c>
      <c r="AO296">
        <f t="shared" si="435"/>
        <v>80.000000000000014</v>
      </c>
      <c r="AP296">
        <f t="shared" si="436"/>
        <v>350</v>
      </c>
      <c r="AR296" s="5">
        <f t="shared" si="406"/>
        <v>2.8571428571428572</v>
      </c>
      <c r="AS296" s="5">
        <f t="shared" si="385"/>
        <v>0.99261857299038991</v>
      </c>
      <c r="AT296" s="5">
        <f t="shared" si="386"/>
        <v>1.8645242841524672</v>
      </c>
      <c r="AU296" s="153">
        <f t="shared" si="387"/>
        <v>0.34741650054663648</v>
      </c>
      <c r="CI296" s="59">
        <f t="shared" si="437"/>
        <v>-50</v>
      </c>
    </row>
    <row r="297" spans="5:87" x14ac:dyDescent="0.25">
      <c r="E297" s="150">
        <v>81</v>
      </c>
      <c r="F297" s="191">
        <f t="shared" si="438"/>
        <v>8.1000000000000016E-2</v>
      </c>
      <c r="G297" s="191">
        <f t="shared" si="407"/>
        <v>8.1000000000000016E-2</v>
      </c>
      <c r="H297" s="191">
        <f t="shared" si="408"/>
        <v>1.2150000000000003</v>
      </c>
      <c r="I297" s="191">
        <f t="shared" si="409"/>
        <v>1.2960000000000003</v>
      </c>
      <c r="J297" s="472">
        <f t="shared" si="410"/>
        <v>26</v>
      </c>
      <c r="K297" s="386">
        <f t="shared" si="411"/>
        <v>15.32</v>
      </c>
      <c r="L297" s="386">
        <f t="shared" si="412"/>
        <v>41.32</v>
      </c>
      <c r="M297" s="386"/>
      <c r="N297" s="191">
        <f t="shared" si="413"/>
        <v>0.37076476282671827</v>
      </c>
      <c r="O297" s="152">
        <f t="shared" si="414"/>
        <v>1.574255222808606</v>
      </c>
      <c r="P297" s="152">
        <f t="shared" si="415"/>
        <v>3.4703581800580832</v>
      </c>
      <c r="Q297" s="191">
        <f t="shared" si="416"/>
        <v>0.1049503481872404</v>
      </c>
      <c r="R297" s="191">
        <f t="shared" si="417"/>
        <v>9.8390951425537873E-2</v>
      </c>
      <c r="S297" s="191">
        <f t="shared" si="418"/>
        <v>15</v>
      </c>
      <c r="T297" s="191">
        <f t="shared" si="419"/>
        <v>0.57884514962843958</v>
      </c>
      <c r="U297" s="191">
        <f t="shared" si="420"/>
        <v>1.046373924328333</v>
      </c>
      <c r="V297" s="191">
        <f t="shared" si="421"/>
        <v>1.7758304198783721</v>
      </c>
      <c r="W297" s="175">
        <f t="shared" si="422"/>
        <v>350</v>
      </c>
      <c r="X297" s="386">
        <f t="shared" si="423"/>
        <v>350</v>
      </c>
      <c r="Z297" s="191">
        <f t="shared" si="424"/>
        <v>0.58601117528843016</v>
      </c>
      <c r="AA297" s="153">
        <f t="shared" si="425"/>
        <v>1.7978149633522333</v>
      </c>
      <c r="AB297" s="153">
        <f t="shared" si="426"/>
        <v>8.9211019565034411E-2</v>
      </c>
      <c r="AC297" s="153"/>
      <c r="AD297" s="153">
        <f t="shared" si="427"/>
        <v>0.46018276762402083</v>
      </c>
      <c r="AE297" s="317">
        <f t="shared" si="428"/>
        <v>2346.8936170212774</v>
      </c>
      <c r="AF297" s="463">
        <f t="shared" si="429"/>
        <v>1.2079797650130546E-2</v>
      </c>
      <c r="AH297" s="153">
        <f t="shared" si="430"/>
        <v>0.55252941442007608</v>
      </c>
      <c r="AI297" s="153">
        <f t="shared" si="431"/>
        <v>0.55252941442007608</v>
      </c>
      <c r="AJ297" s="153">
        <f t="shared" si="432"/>
        <v>1.4981699366074637</v>
      </c>
      <c r="AL297" s="317">
        <f t="shared" si="433"/>
        <v>81.000000000000014</v>
      </c>
      <c r="AM297" s="147">
        <f t="shared" si="434"/>
        <v>350</v>
      </c>
      <c r="AO297">
        <f t="shared" si="435"/>
        <v>81.000000000000014</v>
      </c>
      <c r="AP297">
        <f t="shared" si="436"/>
        <v>350</v>
      </c>
      <c r="AR297" s="5">
        <f t="shared" si="406"/>
        <v>2.8571428571428572</v>
      </c>
      <c r="AS297" s="5">
        <f t="shared" si="385"/>
        <v>0.99880317222090675</v>
      </c>
      <c r="AT297" s="5">
        <f t="shared" si="386"/>
        <v>1.8583396849219505</v>
      </c>
      <c r="AU297" s="153">
        <f t="shared" si="387"/>
        <v>0.34958111027731736</v>
      </c>
      <c r="CI297" s="59">
        <f t="shared" si="437"/>
        <v>-50</v>
      </c>
    </row>
    <row r="298" spans="5:87" x14ac:dyDescent="0.25">
      <c r="E298" s="150">
        <v>82</v>
      </c>
      <c r="F298" s="191">
        <f t="shared" si="438"/>
        <v>8.2000000000000003E-2</v>
      </c>
      <c r="G298" s="191">
        <f t="shared" si="407"/>
        <v>8.2000000000000003E-2</v>
      </c>
      <c r="H298" s="191">
        <f t="shared" si="408"/>
        <v>1.23</v>
      </c>
      <c r="I298" s="191">
        <f t="shared" si="409"/>
        <v>1.3120000000000001</v>
      </c>
      <c r="J298" s="472">
        <f t="shared" si="410"/>
        <v>26</v>
      </c>
      <c r="K298" s="386">
        <f t="shared" si="411"/>
        <v>15.32</v>
      </c>
      <c r="L298" s="386">
        <f t="shared" si="412"/>
        <v>41.32</v>
      </c>
      <c r="M298" s="386"/>
      <c r="N298" s="191">
        <f t="shared" si="413"/>
        <v>0.37076476282671827</v>
      </c>
      <c r="O298" s="152">
        <f t="shared" si="414"/>
        <v>1.574255222808606</v>
      </c>
      <c r="P298" s="152">
        <f t="shared" si="415"/>
        <v>3.4703581800580832</v>
      </c>
      <c r="Q298" s="191">
        <f t="shared" si="416"/>
        <v>0.1049503481872404</v>
      </c>
      <c r="R298" s="191">
        <f t="shared" si="417"/>
        <v>9.8390951425537873E-2</v>
      </c>
      <c r="S298" s="191">
        <f t="shared" si="418"/>
        <v>15</v>
      </c>
      <c r="T298" s="191">
        <f t="shared" si="419"/>
        <v>0.58599138604360523</v>
      </c>
      <c r="U298" s="191">
        <f t="shared" si="420"/>
        <v>1.0592921209249786</v>
      </c>
      <c r="V298" s="191">
        <f t="shared" si="421"/>
        <v>1.7977542522225487</v>
      </c>
      <c r="W298" s="175">
        <f t="shared" si="422"/>
        <v>350</v>
      </c>
      <c r="X298" s="386">
        <f t="shared" si="423"/>
        <v>350</v>
      </c>
      <c r="Z298" s="191">
        <f t="shared" si="424"/>
        <v>0.58601117528843016</v>
      </c>
      <c r="AA298" s="153">
        <f t="shared" si="425"/>
        <v>1.7978149633522333</v>
      </c>
      <c r="AB298" s="153">
        <f t="shared" si="426"/>
        <v>8.9211019565034411E-2</v>
      </c>
      <c r="AC298" s="153"/>
      <c r="AD298" s="153">
        <f t="shared" si="427"/>
        <v>0.46018276762402083</v>
      </c>
      <c r="AE298" s="317">
        <f t="shared" si="428"/>
        <v>2375.8676122931447</v>
      </c>
      <c r="AF298" s="463">
        <f t="shared" si="429"/>
        <v>1.2079797650130546E-2</v>
      </c>
      <c r="AH298" s="153">
        <f t="shared" si="430"/>
        <v>0.55592962752481401</v>
      </c>
      <c r="AI298" s="153">
        <f t="shared" si="431"/>
        <v>0.55592962752481401</v>
      </c>
      <c r="AJ298" s="153">
        <f t="shared" si="432"/>
        <v>1.5006886129813437</v>
      </c>
      <c r="AL298" s="317">
        <f t="shared" si="433"/>
        <v>82</v>
      </c>
      <c r="AM298" s="147">
        <f t="shared" si="434"/>
        <v>350</v>
      </c>
      <c r="AO298">
        <f t="shared" si="435"/>
        <v>82</v>
      </c>
      <c r="AP298">
        <f t="shared" si="436"/>
        <v>350</v>
      </c>
      <c r="AR298" s="5">
        <f t="shared" si="406"/>
        <v>2.8571428571428572</v>
      </c>
      <c r="AS298" s="5">
        <f t="shared" si="385"/>
        <v>1.004949711294856</v>
      </c>
      <c r="AT298" s="5">
        <f t="shared" si="386"/>
        <v>1.8521931458480012</v>
      </c>
      <c r="AU298" s="153">
        <f t="shared" si="387"/>
        <v>0.35173239895319958</v>
      </c>
      <c r="CI298" s="59">
        <f t="shared" si="437"/>
        <v>-50</v>
      </c>
    </row>
    <row r="299" spans="5:87" x14ac:dyDescent="0.25">
      <c r="E299" s="150">
        <v>83</v>
      </c>
      <c r="F299" s="191">
        <f t="shared" si="438"/>
        <v>8.3000000000000004E-2</v>
      </c>
      <c r="G299" s="191">
        <f t="shared" si="407"/>
        <v>8.3000000000000004E-2</v>
      </c>
      <c r="H299" s="191">
        <f t="shared" si="408"/>
        <v>1.2450000000000001</v>
      </c>
      <c r="I299" s="191">
        <f t="shared" si="409"/>
        <v>1.3280000000000001</v>
      </c>
      <c r="J299" s="472">
        <f t="shared" si="410"/>
        <v>26</v>
      </c>
      <c r="K299" s="386">
        <f t="shared" si="411"/>
        <v>15.32</v>
      </c>
      <c r="L299" s="386">
        <f t="shared" si="412"/>
        <v>41.32</v>
      </c>
      <c r="M299" s="386"/>
      <c r="N299" s="191">
        <f t="shared" si="413"/>
        <v>0.37076476282671827</v>
      </c>
      <c r="O299" s="152">
        <f t="shared" si="414"/>
        <v>1.574255222808606</v>
      </c>
      <c r="P299" s="152">
        <f t="shared" si="415"/>
        <v>3.4703581800580832</v>
      </c>
      <c r="Q299" s="191">
        <f t="shared" si="416"/>
        <v>0.1049503481872404</v>
      </c>
      <c r="R299" s="191">
        <f t="shared" si="417"/>
        <v>9.8390951425537873E-2</v>
      </c>
      <c r="S299" s="191">
        <f t="shared" si="418"/>
        <v>15</v>
      </c>
      <c r="T299" s="191">
        <f t="shared" si="419"/>
        <v>0.59313762245877133</v>
      </c>
      <c r="U299" s="191">
        <f t="shared" si="420"/>
        <v>1.0722103175216251</v>
      </c>
      <c r="V299" s="191">
        <f t="shared" si="421"/>
        <v>1.8196780845667266</v>
      </c>
      <c r="W299" s="175">
        <f t="shared" si="422"/>
        <v>350</v>
      </c>
      <c r="X299" s="386">
        <f t="shared" si="423"/>
        <v>345.79480981280562</v>
      </c>
      <c r="Z299" s="191">
        <f t="shared" si="424"/>
        <v>0.58601117528843016</v>
      </c>
      <c r="AA299" s="153">
        <f t="shared" si="425"/>
        <v>1.7978149633522333</v>
      </c>
      <c r="AB299" s="153">
        <f t="shared" si="426"/>
        <v>8.9211019565034411E-2</v>
      </c>
      <c r="AC299" s="153"/>
      <c r="AD299" s="153">
        <f t="shared" si="427"/>
        <v>0.46018276762402083</v>
      </c>
      <c r="AE299" s="317">
        <f t="shared" si="428"/>
        <v>2404.8416075650125</v>
      </c>
      <c r="AF299" s="463">
        <f t="shared" si="429"/>
        <v>1.2079797650130546E-2</v>
      </c>
      <c r="AH299" s="153">
        <f t="shared" si="430"/>
        <v>0.55930917006639969</v>
      </c>
      <c r="AI299" s="153">
        <f t="shared" si="431"/>
        <v>0.55930917006639969</v>
      </c>
      <c r="AJ299" s="153">
        <f t="shared" si="432"/>
        <v>1.5031919778269627</v>
      </c>
      <c r="AL299" s="317">
        <f t="shared" si="433"/>
        <v>83</v>
      </c>
      <c r="AM299" s="147">
        <f t="shared" si="434"/>
        <v>345.79480981280562</v>
      </c>
      <c r="AO299">
        <f t="shared" si="435"/>
        <v>83</v>
      </c>
      <c r="AP299">
        <f t="shared" si="436"/>
        <v>345.79480981280562</v>
      </c>
      <c r="AR299" s="5">
        <f t="shared" si="406"/>
        <v>2.8918884020883517</v>
      </c>
      <c r="AS299" s="5">
        <f t="shared" si="385"/>
        <v>1.0110588843507995</v>
      </c>
      <c r="AT299" s="5">
        <f t="shared" si="386"/>
        <v>1.8808295177375522</v>
      </c>
      <c r="AU299" s="153">
        <f t="shared" si="387"/>
        <v>0.34961891462363215</v>
      </c>
      <c r="CI299" s="59">
        <f t="shared" si="437"/>
        <v>-50</v>
      </c>
    </row>
    <row r="300" spans="5:87" x14ac:dyDescent="0.25">
      <c r="E300" s="150">
        <v>84</v>
      </c>
      <c r="F300" s="191">
        <f t="shared" si="438"/>
        <v>8.4000000000000005E-2</v>
      </c>
      <c r="G300" s="191">
        <f t="shared" si="407"/>
        <v>8.4000000000000005E-2</v>
      </c>
      <c r="H300" s="191">
        <f t="shared" si="408"/>
        <v>1.26</v>
      </c>
      <c r="I300" s="191">
        <f t="shared" si="409"/>
        <v>1.3440000000000001</v>
      </c>
      <c r="J300" s="472">
        <f t="shared" si="410"/>
        <v>26</v>
      </c>
      <c r="K300" s="386">
        <f t="shared" si="411"/>
        <v>15.32</v>
      </c>
      <c r="L300" s="386">
        <f t="shared" si="412"/>
        <v>41.32</v>
      </c>
      <c r="M300" s="386"/>
      <c r="N300" s="191">
        <f t="shared" si="413"/>
        <v>0.37076476282671827</v>
      </c>
      <c r="O300" s="152">
        <f t="shared" si="414"/>
        <v>1.574255222808606</v>
      </c>
      <c r="P300" s="152">
        <f t="shared" si="415"/>
        <v>3.4703581800580832</v>
      </c>
      <c r="Q300" s="191">
        <f t="shared" si="416"/>
        <v>0.1049503481872404</v>
      </c>
      <c r="R300" s="191">
        <f t="shared" si="417"/>
        <v>9.8390951425537873E-2</v>
      </c>
      <c r="S300" s="191">
        <f t="shared" si="418"/>
        <v>15</v>
      </c>
      <c r="T300" s="191">
        <f t="shared" si="419"/>
        <v>0.6002838588739372</v>
      </c>
      <c r="U300" s="191">
        <f t="shared" si="420"/>
        <v>1.0851285141182712</v>
      </c>
      <c r="V300" s="191">
        <f t="shared" si="421"/>
        <v>1.8416019169109039</v>
      </c>
      <c r="W300" s="175">
        <f t="shared" si="422"/>
        <v>350</v>
      </c>
      <c r="X300" s="386">
        <f t="shared" si="423"/>
        <v>341.6782049340818</v>
      </c>
      <c r="Z300" s="191">
        <f t="shared" si="424"/>
        <v>0.58601117528843016</v>
      </c>
      <c r="AA300" s="153">
        <f t="shared" si="425"/>
        <v>1.7978149633522333</v>
      </c>
      <c r="AB300" s="153">
        <f t="shared" si="426"/>
        <v>8.9211019565034411E-2</v>
      </c>
      <c r="AC300" s="153"/>
      <c r="AD300" s="153">
        <f t="shared" si="427"/>
        <v>0.46018276762402083</v>
      </c>
      <c r="AE300" s="317">
        <f t="shared" si="428"/>
        <v>2433.8156028368803</v>
      </c>
      <c r="AF300" s="463">
        <f t="shared" si="429"/>
        <v>1.2079797650130546E-2</v>
      </c>
      <c r="AH300" s="153">
        <f t="shared" si="430"/>
        <v>0.56266841450436078</v>
      </c>
      <c r="AI300" s="153">
        <f t="shared" si="431"/>
        <v>0.56266841450436078</v>
      </c>
      <c r="AJ300" s="153">
        <f t="shared" si="432"/>
        <v>1.5056803070402671</v>
      </c>
      <c r="AL300" s="317">
        <f t="shared" si="433"/>
        <v>84</v>
      </c>
      <c r="AM300" s="147">
        <f t="shared" si="434"/>
        <v>341.6782049340818</v>
      </c>
      <c r="AO300">
        <f t="shared" si="435"/>
        <v>84</v>
      </c>
      <c r="AP300">
        <f t="shared" si="436"/>
        <v>341.6782049340818</v>
      </c>
      <c r="AR300" s="5">
        <f t="shared" si="406"/>
        <v>2.9267304310291746</v>
      </c>
      <c r="AS300" s="5">
        <f t="shared" si="385"/>
        <v>1.0171313646809597</v>
      </c>
      <c r="AT300" s="5">
        <f t="shared" si="386"/>
        <v>1.909599066348215</v>
      </c>
      <c r="AU300" s="153">
        <f t="shared" si="387"/>
        <v>0.34753161886634326</v>
      </c>
      <c r="CI300" s="59">
        <f t="shared" si="437"/>
        <v>-50</v>
      </c>
    </row>
    <row r="301" spans="5:87" x14ac:dyDescent="0.25">
      <c r="E301" s="150">
        <v>85</v>
      </c>
      <c r="F301" s="191">
        <f t="shared" si="438"/>
        <v>8.5000000000000006E-2</v>
      </c>
      <c r="G301" s="191">
        <f t="shared" si="407"/>
        <v>8.5000000000000006E-2</v>
      </c>
      <c r="H301" s="191">
        <f t="shared" si="408"/>
        <v>1.2750000000000001</v>
      </c>
      <c r="I301" s="191">
        <f t="shared" si="409"/>
        <v>1.36</v>
      </c>
      <c r="J301" s="472">
        <f t="shared" si="410"/>
        <v>26</v>
      </c>
      <c r="K301" s="386">
        <f t="shared" si="411"/>
        <v>15.32</v>
      </c>
      <c r="L301" s="386">
        <f t="shared" si="412"/>
        <v>41.32</v>
      </c>
      <c r="M301" s="386"/>
      <c r="N301" s="191">
        <f t="shared" si="413"/>
        <v>0.37076476282671827</v>
      </c>
      <c r="O301" s="152">
        <f t="shared" si="414"/>
        <v>1.574255222808606</v>
      </c>
      <c r="P301" s="152">
        <f t="shared" si="415"/>
        <v>3.4703581800580832</v>
      </c>
      <c r="Q301" s="191">
        <f t="shared" si="416"/>
        <v>0.1049503481872404</v>
      </c>
      <c r="R301" s="191">
        <f t="shared" si="417"/>
        <v>9.8390951425537873E-2</v>
      </c>
      <c r="S301" s="191">
        <f t="shared" si="418"/>
        <v>15</v>
      </c>
      <c r="T301" s="191">
        <f t="shared" si="419"/>
        <v>0.60743009528910308</v>
      </c>
      <c r="U301" s="191">
        <f t="shared" si="420"/>
        <v>1.0980467107149172</v>
      </c>
      <c r="V301" s="191">
        <f t="shared" si="421"/>
        <v>1.8635257492550812</v>
      </c>
      <c r="W301" s="175">
        <f t="shared" si="422"/>
        <v>350</v>
      </c>
      <c r="X301" s="386">
        <f t="shared" si="423"/>
        <v>337.658461346622</v>
      </c>
      <c r="Z301" s="191">
        <f t="shared" si="424"/>
        <v>0.58601117528843016</v>
      </c>
      <c r="AA301" s="153">
        <f t="shared" si="425"/>
        <v>1.7978149633522333</v>
      </c>
      <c r="AB301" s="153">
        <f t="shared" si="426"/>
        <v>8.9211019565034411E-2</v>
      </c>
      <c r="AC301" s="153"/>
      <c r="AD301" s="153">
        <f t="shared" si="427"/>
        <v>0.46018276762402083</v>
      </c>
      <c r="AE301" s="317">
        <f t="shared" si="428"/>
        <v>2462.7895981087481</v>
      </c>
      <c r="AF301" s="463">
        <f t="shared" si="429"/>
        <v>1.2079797650130546E-2</v>
      </c>
      <c r="AH301" s="153">
        <f t="shared" si="430"/>
        <v>0.56600772224532192</v>
      </c>
      <c r="AI301" s="153">
        <f t="shared" si="431"/>
        <v>0.56600772224532192</v>
      </c>
      <c r="AJ301" s="153">
        <f t="shared" si="432"/>
        <v>1.5081538683298681</v>
      </c>
      <c r="AL301" s="317">
        <f t="shared" si="433"/>
        <v>85</v>
      </c>
      <c r="AM301" s="147">
        <f t="shared" si="434"/>
        <v>337.658461346622</v>
      </c>
      <c r="AO301">
        <f t="shared" si="435"/>
        <v>85</v>
      </c>
      <c r="AP301">
        <f t="shared" si="436"/>
        <v>337.658461346622</v>
      </c>
      <c r="AR301" s="5">
        <f t="shared" si="406"/>
        <v>2.9615724599699988</v>
      </c>
      <c r="AS301" s="5">
        <f t="shared" si="385"/>
        <v>1.0231678055973126</v>
      </c>
      <c r="AT301" s="5">
        <f t="shared" si="386"/>
        <v>1.9384046543726863</v>
      </c>
      <c r="AU301" s="153">
        <f t="shared" si="387"/>
        <v>0.34548126693738818</v>
      </c>
      <c r="CI301" s="59">
        <f t="shared" si="437"/>
        <v>-50</v>
      </c>
    </row>
    <row r="302" spans="5:87" x14ac:dyDescent="0.25">
      <c r="E302" s="150">
        <v>86</v>
      </c>
      <c r="F302" s="191">
        <f t="shared" si="438"/>
        <v>8.6000000000000007E-2</v>
      </c>
      <c r="G302" s="191">
        <f t="shared" si="407"/>
        <v>8.6000000000000007E-2</v>
      </c>
      <c r="H302" s="191">
        <f t="shared" si="408"/>
        <v>1.29</v>
      </c>
      <c r="I302" s="191">
        <f t="shared" si="409"/>
        <v>1.3760000000000001</v>
      </c>
      <c r="J302" s="472">
        <f t="shared" si="410"/>
        <v>26</v>
      </c>
      <c r="K302" s="386">
        <f t="shared" si="411"/>
        <v>15.32</v>
      </c>
      <c r="L302" s="386">
        <f t="shared" si="412"/>
        <v>41.32</v>
      </c>
      <c r="M302" s="386"/>
      <c r="N302" s="191">
        <f t="shared" si="413"/>
        <v>0.37076476282671827</v>
      </c>
      <c r="O302" s="152">
        <f t="shared" si="414"/>
        <v>1.574255222808606</v>
      </c>
      <c r="P302" s="152">
        <f t="shared" si="415"/>
        <v>3.4703581800580832</v>
      </c>
      <c r="Q302" s="191">
        <f t="shared" si="416"/>
        <v>0.1049503481872404</v>
      </c>
      <c r="R302" s="191">
        <f t="shared" si="417"/>
        <v>9.8390951425537873E-2</v>
      </c>
      <c r="S302" s="191">
        <f t="shared" si="418"/>
        <v>15</v>
      </c>
      <c r="T302" s="191">
        <f t="shared" si="419"/>
        <v>0.61457633170426906</v>
      </c>
      <c r="U302" s="191">
        <f t="shared" si="420"/>
        <v>1.1109649073115633</v>
      </c>
      <c r="V302" s="191">
        <f t="shared" si="421"/>
        <v>1.8854495815992589</v>
      </c>
      <c r="W302" s="175">
        <f t="shared" si="422"/>
        <v>350</v>
      </c>
      <c r="X302" s="386">
        <f t="shared" si="423"/>
        <v>333.73220016817288</v>
      </c>
      <c r="Z302" s="191">
        <f t="shared" si="424"/>
        <v>0.58601117528843016</v>
      </c>
      <c r="AA302" s="153">
        <f t="shared" si="425"/>
        <v>1.7978149633522333</v>
      </c>
      <c r="AB302" s="153">
        <f t="shared" si="426"/>
        <v>8.9211019565034411E-2</v>
      </c>
      <c r="AC302" s="153"/>
      <c r="AD302" s="153">
        <f t="shared" si="427"/>
        <v>0.46018276762402083</v>
      </c>
      <c r="AE302" s="317">
        <f t="shared" si="428"/>
        <v>2491.7635933806155</v>
      </c>
      <c r="AF302" s="463">
        <f t="shared" si="429"/>
        <v>1.2079797650130546E-2</v>
      </c>
      <c r="AH302" s="153">
        <f t="shared" si="430"/>
        <v>0.56932744409682534</v>
      </c>
      <c r="AI302" s="153">
        <f t="shared" si="431"/>
        <v>0.56932744409682534</v>
      </c>
      <c r="AJ302" s="153">
        <f t="shared" si="432"/>
        <v>1.5106129215532038</v>
      </c>
      <c r="AL302" s="317">
        <f t="shared" si="433"/>
        <v>86</v>
      </c>
      <c r="AM302" s="147">
        <f t="shared" si="434"/>
        <v>333.73220016817288</v>
      </c>
      <c r="AO302">
        <f t="shared" si="435"/>
        <v>86</v>
      </c>
      <c r="AP302">
        <f t="shared" si="436"/>
        <v>333.73220016817288</v>
      </c>
      <c r="AR302" s="5">
        <f t="shared" si="406"/>
        <v>2.9964144889108222</v>
      </c>
      <c r="AS302" s="5">
        <f t="shared" si="385"/>
        <v>1.0291688412519533</v>
      </c>
      <c r="AT302" s="5">
        <f t="shared" si="386"/>
        <v>1.9672456476588689</v>
      </c>
      <c r="AU302" s="153">
        <f t="shared" si="387"/>
        <v>0.34346678173554346</v>
      </c>
      <c r="CI302" s="59">
        <f t="shared" si="437"/>
        <v>-50</v>
      </c>
    </row>
    <row r="303" spans="5:87" x14ac:dyDescent="0.25">
      <c r="E303" s="150">
        <v>87</v>
      </c>
      <c r="F303" s="191">
        <f t="shared" si="438"/>
        <v>8.7000000000000008E-2</v>
      </c>
      <c r="G303" s="191">
        <f t="shared" si="407"/>
        <v>8.7000000000000008E-2</v>
      </c>
      <c r="H303" s="191">
        <f t="shared" si="408"/>
        <v>1.3050000000000002</v>
      </c>
      <c r="I303" s="191">
        <f t="shared" si="409"/>
        <v>1.3920000000000001</v>
      </c>
      <c r="J303" s="472">
        <f t="shared" si="410"/>
        <v>26</v>
      </c>
      <c r="K303" s="386">
        <f t="shared" si="411"/>
        <v>15.32</v>
      </c>
      <c r="L303" s="386">
        <f t="shared" si="412"/>
        <v>41.32</v>
      </c>
      <c r="M303" s="386"/>
      <c r="N303" s="191">
        <f t="shared" si="413"/>
        <v>0.37076476282671827</v>
      </c>
      <c r="O303" s="152">
        <f t="shared" si="414"/>
        <v>1.574255222808606</v>
      </c>
      <c r="P303" s="152">
        <f t="shared" si="415"/>
        <v>3.4703581800580832</v>
      </c>
      <c r="Q303" s="191">
        <f t="shared" si="416"/>
        <v>0.1049503481872404</v>
      </c>
      <c r="R303" s="191">
        <f t="shared" si="417"/>
        <v>9.8390951425537873E-2</v>
      </c>
      <c r="S303" s="191">
        <f t="shared" si="418"/>
        <v>15</v>
      </c>
      <c r="T303" s="191">
        <f t="shared" si="419"/>
        <v>0.62172256811943494</v>
      </c>
      <c r="U303" s="191">
        <f t="shared" si="420"/>
        <v>1.1238831039082091</v>
      </c>
      <c r="V303" s="191">
        <f t="shared" si="421"/>
        <v>1.907373413943436</v>
      </c>
      <c r="W303" s="175">
        <f t="shared" si="422"/>
        <v>350</v>
      </c>
      <c r="X303" s="386">
        <f t="shared" si="423"/>
        <v>329.89619786738939</v>
      </c>
      <c r="Z303" s="191">
        <f t="shared" si="424"/>
        <v>0.58601117528843016</v>
      </c>
      <c r="AA303" s="153">
        <f t="shared" si="425"/>
        <v>1.7978149633522333</v>
      </c>
      <c r="AB303" s="153">
        <f t="shared" si="426"/>
        <v>8.9211019565034411E-2</v>
      </c>
      <c r="AC303" s="153"/>
      <c r="AD303" s="153">
        <f t="shared" si="427"/>
        <v>0.46018276762402083</v>
      </c>
      <c r="AE303" s="317">
        <f t="shared" si="428"/>
        <v>2520.7375886524833</v>
      </c>
      <c r="AF303" s="463">
        <f t="shared" si="429"/>
        <v>1.2079797650130546E-2</v>
      </c>
      <c r="AH303" s="153">
        <f t="shared" si="430"/>
        <v>0.57262792069747182</v>
      </c>
      <c r="AI303" s="153">
        <f t="shared" si="431"/>
        <v>0.57262792069747182</v>
      </c>
      <c r="AJ303" s="153">
        <f t="shared" si="432"/>
        <v>1.5130577190351642</v>
      </c>
      <c r="AL303" s="317">
        <f t="shared" si="433"/>
        <v>87.000000000000014</v>
      </c>
      <c r="AM303" s="147">
        <f t="shared" si="434"/>
        <v>329.89619786738939</v>
      </c>
      <c r="AO303">
        <f t="shared" si="435"/>
        <v>87.000000000000014</v>
      </c>
      <c r="AP303">
        <f t="shared" si="436"/>
        <v>329.89619786738939</v>
      </c>
      <c r="AR303" s="5">
        <f t="shared" si="406"/>
        <v>3.0312565178516446</v>
      </c>
      <c r="AS303" s="5">
        <f t="shared" si="385"/>
        <v>1.0351350874146605</v>
      </c>
      <c r="AT303" s="5">
        <f t="shared" si="386"/>
        <v>1.9961214304369841</v>
      </c>
      <c r="AU303" s="153">
        <f t="shared" si="387"/>
        <v>0.34148712961722427</v>
      </c>
      <c r="CI303" s="59">
        <f t="shared" si="437"/>
        <v>-50</v>
      </c>
    </row>
    <row r="304" spans="5:87" x14ac:dyDescent="0.25">
      <c r="E304" s="150">
        <v>88</v>
      </c>
      <c r="F304" s="191">
        <f t="shared" si="438"/>
        <v>8.8000000000000009E-2</v>
      </c>
      <c r="G304" s="191">
        <f t="shared" si="407"/>
        <v>8.8000000000000009E-2</v>
      </c>
      <c r="H304" s="191">
        <f t="shared" si="408"/>
        <v>1.32</v>
      </c>
      <c r="I304" s="191">
        <f t="shared" si="409"/>
        <v>1.4080000000000001</v>
      </c>
      <c r="J304" s="472">
        <f t="shared" si="410"/>
        <v>26</v>
      </c>
      <c r="K304" s="386">
        <f t="shared" si="411"/>
        <v>15.32</v>
      </c>
      <c r="L304" s="386">
        <f t="shared" si="412"/>
        <v>41.32</v>
      </c>
      <c r="M304" s="386"/>
      <c r="N304" s="191">
        <f t="shared" si="413"/>
        <v>0.37076476282671827</v>
      </c>
      <c r="O304" s="152">
        <f t="shared" si="414"/>
        <v>1.574255222808606</v>
      </c>
      <c r="P304" s="152">
        <f t="shared" si="415"/>
        <v>3.4703581800580832</v>
      </c>
      <c r="Q304" s="191">
        <f t="shared" si="416"/>
        <v>0.1049503481872404</v>
      </c>
      <c r="R304" s="191">
        <f t="shared" si="417"/>
        <v>9.8390951425537873E-2</v>
      </c>
      <c r="S304" s="191">
        <f t="shared" si="418"/>
        <v>15</v>
      </c>
      <c r="T304" s="191">
        <f t="shared" si="419"/>
        <v>0.62886880453460092</v>
      </c>
      <c r="U304" s="191">
        <f t="shared" si="420"/>
        <v>1.1368013005048554</v>
      </c>
      <c r="V304" s="191">
        <f t="shared" si="421"/>
        <v>1.9292972462876137</v>
      </c>
      <c r="W304" s="175">
        <f t="shared" si="422"/>
        <v>350</v>
      </c>
      <c r="X304" s="386">
        <f t="shared" si="423"/>
        <v>326.14737743707803</v>
      </c>
      <c r="Z304" s="191">
        <f t="shared" si="424"/>
        <v>0.58601117528843016</v>
      </c>
      <c r="AA304" s="153">
        <f t="shared" si="425"/>
        <v>1.7978149633522333</v>
      </c>
      <c r="AB304" s="153">
        <f t="shared" si="426"/>
        <v>8.9211019565034411E-2</v>
      </c>
      <c r="AC304" s="153"/>
      <c r="AD304" s="153">
        <f t="shared" si="427"/>
        <v>0.46018276762402083</v>
      </c>
      <c r="AE304" s="317">
        <f t="shared" si="428"/>
        <v>2549.7115839243506</v>
      </c>
      <c r="AF304" s="463">
        <f t="shared" si="429"/>
        <v>1.2079797650130546E-2</v>
      </c>
      <c r="AH304" s="153">
        <f t="shared" si="430"/>
        <v>0.57590948292487454</v>
      </c>
      <c r="AI304" s="153">
        <f t="shared" si="431"/>
        <v>0.57590948292487454</v>
      </c>
      <c r="AJ304" s="153">
        <f t="shared" si="432"/>
        <v>1.5154885058702774</v>
      </c>
      <c r="AL304" s="317">
        <f t="shared" si="433"/>
        <v>88.000000000000014</v>
      </c>
      <c r="AM304" s="147">
        <f t="shared" si="434"/>
        <v>326.14737743707803</v>
      </c>
      <c r="AO304">
        <f t="shared" si="435"/>
        <v>88.000000000000014</v>
      </c>
      <c r="AP304">
        <f t="shared" si="436"/>
        <v>326.14737743707803</v>
      </c>
      <c r="AR304" s="5">
        <f t="shared" si="406"/>
        <v>3.0660985467924697</v>
      </c>
      <c r="AS304" s="5">
        <f t="shared" si="385"/>
        <v>1.0410671422103501</v>
      </c>
      <c r="AT304" s="5">
        <f t="shared" si="386"/>
        <v>2.0250314045821196</v>
      </c>
      <c r="AU304" s="153">
        <f t="shared" si="387"/>
        <v>0.33954131816781924</v>
      </c>
      <c r="CI304" s="59">
        <f t="shared" si="437"/>
        <v>-50</v>
      </c>
    </row>
    <row r="305" spans="4:87" x14ac:dyDescent="0.25">
      <c r="E305" s="150">
        <v>89</v>
      </c>
      <c r="F305" s="191">
        <f t="shared" si="438"/>
        <v>8.900000000000001E-2</v>
      </c>
      <c r="G305" s="191">
        <f t="shared" si="407"/>
        <v>8.900000000000001E-2</v>
      </c>
      <c r="H305" s="191">
        <f t="shared" si="408"/>
        <v>1.3350000000000002</v>
      </c>
      <c r="I305" s="191">
        <f t="shared" si="409"/>
        <v>1.4240000000000002</v>
      </c>
      <c r="J305" s="472">
        <f t="shared" si="410"/>
        <v>26</v>
      </c>
      <c r="K305" s="386">
        <f t="shared" si="411"/>
        <v>15.32</v>
      </c>
      <c r="L305" s="386">
        <f t="shared" si="412"/>
        <v>41.32</v>
      </c>
      <c r="M305" s="386"/>
      <c r="N305" s="191">
        <f t="shared" si="413"/>
        <v>0.37076476282671827</v>
      </c>
      <c r="O305" s="152">
        <f t="shared" si="414"/>
        <v>1.574255222808606</v>
      </c>
      <c r="P305" s="152">
        <f t="shared" si="415"/>
        <v>3.4703581800580832</v>
      </c>
      <c r="Q305" s="191">
        <f t="shared" si="416"/>
        <v>0.1049503481872404</v>
      </c>
      <c r="R305" s="191">
        <f t="shared" si="417"/>
        <v>9.8390951425537873E-2</v>
      </c>
      <c r="S305" s="191">
        <f t="shared" si="418"/>
        <v>15</v>
      </c>
      <c r="T305" s="191">
        <f t="shared" si="419"/>
        <v>0.6360150409497668</v>
      </c>
      <c r="U305" s="191">
        <f t="shared" si="420"/>
        <v>1.1497194971015012</v>
      </c>
      <c r="V305" s="191">
        <f t="shared" si="421"/>
        <v>1.951221078631791</v>
      </c>
      <c r="W305" s="175">
        <f t="shared" si="422"/>
        <v>350</v>
      </c>
      <c r="X305" s="386">
        <f t="shared" si="423"/>
        <v>322.48280016250419</v>
      </c>
      <c r="Z305" s="191">
        <f t="shared" si="424"/>
        <v>0.58601117528843016</v>
      </c>
      <c r="AA305" s="153">
        <f t="shared" si="425"/>
        <v>1.7978149633522333</v>
      </c>
      <c r="AB305" s="153">
        <f t="shared" si="426"/>
        <v>8.9211019565034411E-2</v>
      </c>
      <c r="AC305" s="153"/>
      <c r="AD305" s="153">
        <f t="shared" si="427"/>
        <v>0.46018276762402083</v>
      </c>
      <c r="AE305" s="317">
        <f t="shared" si="428"/>
        <v>2578.6855791962184</v>
      </c>
      <c r="AF305" s="463">
        <f t="shared" si="429"/>
        <v>1.2079797650130546E-2</v>
      </c>
      <c r="AH305" s="153">
        <f t="shared" si="430"/>
        <v>0.57917245228280911</v>
      </c>
      <c r="AI305" s="153">
        <f t="shared" si="431"/>
        <v>0.57917245228280911</v>
      </c>
      <c r="AJ305" s="153">
        <f t="shared" si="432"/>
        <v>1.5179055202094882</v>
      </c>
      <c r="AL305" s="317">
        <f t="shared" si="433"/>
        <v>89.000000000000014</v>
      </c>
      <c r="AM305" s="147">
        <f t="shared" si="434"/>
        <v>322.48280016250419</v>
      </c>
      <c r="AO305">
        <f t="shared" si="435"/>
        <v>89.000000000000014</v>
      </c>
      <c r="AP305">
        <f t="shared" si="436"/>
        <v>322.48280016250419</v>
      </c>
      <c r="AR305" s="5">
        <f t="shared" si="406"/>
        <v>3.1009405757332922</v>
      </c>
      <c r="AS305" s="5">
        <f t="shared" si="385"/>
        <v>1.046965586818924</v>
      </c>
      <c r="AT305" s="5">
        <f t="shared" si="386"/>
        <v>2.0539749889143684</v>
      </c>
      <c r="AU305" s="153">
        <f t="shared" si="387"/>
        <v>0.33762839411114604</v>
      </c>
      <c r="CI305" s="59">
        <f t="shared" si="437"/>
        <v>-50</v>
      </c>
    </row>
    <row r="306" spans="4:87" x14ac:dyDescent="0.25">
      <c r="E306" s="150">
        <v>90</v>
      </c>
      <c r="F306" s="191">
        <f t="shared" si="438"/>
        <v>9.0000000000000011E-2</v>
      </c>
      <c r="G306" s="191">
        <f t="shared" si="407"/>
        <v>9.0000000000000011E-2</v>
      </c>
      <c r="H306" s="191">
        <f t="shared" si="408"/>
        <v>1.35</v>
      </c>
      <c r="I306" s="191">
        <f t="shared" si="409"/>
        <v>1.4400000000000002</v>
      </c>
      <c r="J306" s="472">
        <f t="shared" si="410"/>
        <v>26</v>
      </c>
      <c r="K306" s="386">
        <f t="shared" si="411"/>
        <v>15.32</v>
      </c>
      <c r="L306" s="386">
        <f t="shared" si="412"/>
        <v>41.32</v>
      </c>
      <c r="M306" s="386"/>
      <c r="N306" s="191">
        <f t="shared" si="413"/>
        <v>0.37076476282671827</v>
      </c>
      <c r="O306" s="152">
        <f t="shared" si="414"/>
        <v>1.574255222808606</v>
      </c>
      <c r="P306" s="152">
        <f t="shared" si="415"/>
        <v>3.4703581800580832</v>
      </c>
      <c r="Q306" s="191">
        <f t="shared" si="416"/>
        <v>0.1049503481872404</v>
      </c>
      <c r="R306" s="191">
        <f t="shared" si="417"/>
        <v>9.8390951425537873E-2</v>
      </c>
      <c r="S306" s="191">
        <f t="shared" si="418"/>
        <v>15</v>
      </c>
      <c r="T306" s="191">
        <f t="shared" si="419"/>
        <v>0.64316127736493267</v>
      </c>
      <c r="U306" s="191">
        <f t="shared" si="420"/>
        <v>1.1626376936981473</v>
      </c>
      <c r="V306" s="191">
        <f t="shared" si="421"/>
        <v>1.9731449109759682</v>
      </c>
      <c r="W306" s="175">
        <f t="shared" si="422"/>
        <v>350</v>
      </c>
      <c r="X306" s="386">
        <f t="shared" si="423"/>
        <v>318.89965793847642</v>
      </c>
      <c r="Z306" s="191">
        <f t="shared" si="424"/>
        <v>0.58601117528843016</v>
      </c>
      <c r="AA306" s="153">
        <f t="shared" si="425"/>
        <v>1.7978149633522333</v>
      </c>
      <c r="AB306" s="153">
        <f t="shared" si="426"/>
        <v>8.9211019565034411E-2</v>
      </c>
      <c r="AC306" s="153"/>
      <c r="AD306" s="153">
        <f t="shared" si="427"/>
        <v>0.46018276762402083</v>
      </c>
      <c r="AE306" s="317">
        <f t="shared" si="428"/>
        <v>2607.6595744680858</v>
      </c>
      <c r="AF306" s="463">
        <f t="shared" si="429"/>
        <v>1.2079797650130546E-2</v>
      </c>
      <c r="AH306" s="153">
        <f t="shared" si="430"/>
        <v>0.58241714126884092</v>
      </c>
      <c r="AI306" s="153">
        <f t="shared" si="431"/>
        <v>0.64316127736493267</v>
      </c>
      <c r="AJ306" s="153">
        <f t="shared" si="432"/>
        <v>1.5653046498999501</v>
      </c>
      <c r="AL306" s="317">
        <f t="shared" si="433"/>
        <v>90.000000000000014</v>
      </c>
      <c r="AM306" s="147">
        <f t="shared" si="434"/>
        <v>318.89965793847642</v>
      </c>
      <c r="AO306">
        <f t="shared" si="435"/>
        <v>90.000000000000014</v>
      </c>
      <c r="AP306">
        <f t="shared" si="436"/>
        <v>318.89965793847642</v>
      </c>
      <c r="AR306" s="5">
        <f t="shared" si="406"/>
        <v>3.1357826046741151</v>
      </c>
      <c r="AS306" s="5">
        <f t="shared" si="385"/>
        <v>1.1626376936981473</v>
      </c>
      <c r="AT306" s="5">
        <f t="shared" si="386"/>
        <v>1.9731449109759678</v>
      </c>
      <c r="AU306" s="153">
        <f t="shared" si="387"/>
        <v>0.37076476282671833</v>
      </c>
      <c r="CI306" s="59">
        <f t="shared" si="437"/>
        <v>-50</v>
      </c>
    </row>
    <row r="307" spans="4:87" x14ac:dyDescent="0.25">
      <c r="E307" s="150">
        <v>91</v>
      </c>
      <c r="F307" s="191">
        <f t="shared" si="438"/>
        <v>9.1000000000000011E-2</v>
      </c>
      <c r="G307" s="191">
        <f t="shared" si="407"/>
        <v>9.1000000000000011E-2</v>
      </c>
      <c r="H307" s="191">
        <f t="shared" si="408"/>
        <v>1.3650000000000002</v>
      </c>
      <c r="I307" s="191">
        <f t="shared" si="409"/>
        <v>1.4560000000000002</v>
      </c>
      <c r="J307" s="472">
        <f t="shared" si="410"/>
        <v>26</v>
      </c>
      <c r="K307" s="386">
        <f t="shared" si="411"/>
        <v>15.32</v>
      </c>
      <c r="L307" s="386">
        <f t="shared" si="412"/>
        <v>41.32</v>
      </c>
      <c r="M307" s="386"/>
      <c r="N307" s="191">
        <f t="shared" si="413"/>
        <v>0.37076476282671827</v>
      </c>
      <c r="O307" s="152">
        <f t="shared" si="414"/>
        <v>1.574255222808606</v>
      </c>
      <c r="P307" s="152">
        <f t="shared" si="415"/>
        <v>3.4703581800580832</v>
      </c>
      <c r="Q307" s="191">
        <f t="shared" si="416"/>
        <v>0.1049503481872404</v>
      </c>
      <c r="R307" s="191">
        <f t="shared" si="417"/>
        <v>9.8390951425537873E-2</v>
      </c>
      <c r="S307" s="191">
        <f t="shared" si="418"/>
        <v>15</v>
      </c>
      <c r="T307" s="191">
        <f t="shared" si="419"/>
        <v>0.65030751378009877</v>
      </c>
      <c r="U307" s="191">
        <f t="shared" si="420"/>
        <v>1.175555890294794</v>
      </c>
      <c r="V307" s="191">
        <f t="shared" si="421"/>
        <v>1.9950687433201462</v>
      </c>
      <c r="W307" s="175">
        <f t="shared" si="422"/>
        <v>350</v>
      </c>
      <c r="X307" s="386">
        <f t="shared" si="423"/>
        <v>315.3952660929985</v>
      </c>
      <c r="Z307" s="191">
        <f t="shared" si="424"/>
        <v>0.58601117528843016</v>
      </c>
      <c r="AA307" s="153">
        <f t="shared" si="425"/>
        <v>1.7978149633522333</v>
      </c>
      <c r="AB307" s="153">
        <f t="shared" si="426"/>
        <v>8.9211019565034411E-2</v>
      </c>
      <c r="AC307" s="153"/>
      <c r="AD307" s="153">
        <f t="shared" si="427"/>
        <v>0.46018276762402083</v>
      </c>
      <c r="AE307" s="317">
        <f t="shared" si="428"/>
        <v>2636.6335697399536</v>
      </c>
      <c r="AF307" s="463">
        <f t="shared" si="429"/>
        <v>1.2079797650130546E-2</v>
      </c>
      <c r="AH307" s="153">
        <f t="shared" si="430"/>
        <v>0.58564385372362215</v>
      </c>
      <c r="AI307" s="153">
        <f t="shared" si="431"/>
        <v>0.65030751378009877</v>
      </c>
      <c r="AJ307" s="153">
        <f t="shared" si="432"/>
        <v>1.5705981583556285</v>
      </c>
      <c r="AL307" s="317">
        <f t="shared" si="433"/>
        <v>91.000000000000014</v>
      </c>
      <c r="AM307" s="147">
        <f t="shared" si="434"/>
        <v>315.3952660929985</v>
      </c>
      <c r="AO307">
        <f t="shared" si="435"/>
        <v>91.000000000000014</v>
      </c>
      <c r="AP307">
        <f t="shared" si="436"/>
        <v>315.3952660929985</v>
      </c>
      <c r="AR307" s="5">
        <f t="shared" si="406"/>
        <v>3.1706246336149402</v>
      </c>
      <c r="AS307" s="5">
        <f t="shared" ref="AS307:AS316" si="439">L*AI307/J307*1000000</f>
        <v>1.175555890294794</v>
      </c>
      <c r="AT307" s="5">
        <f t="shared" ref="AT307:AT316" si="440">AR307-AS307</f>
        <v>1.9950687433201462</v>
      </c>
      <c r="AU307" s="153">
        <f t="shared" ref="AU307:AU316" si="441">AS307/AR307</f>
        <v>0.37076476282671833</v>
      </c>
      <c r="CI307" s="59">
        <f t="shared" si="437"/>
        <v>-50</v>
      </c>
    </row>
    <row r="308" spans="4:87" x14ac:dyDescent="0.25">
      <c r="E308" s="150">
        <v>92</v>
      </c>
      <c r="F308" s="191">
        <f t="shared" si="438"/>
        <v>9.2000000000000012E-2</v>
      </c>
      <c r="G308" s="191">
        <f t="shared" si="407"/>
        <v>9.2000000000000012E-2</v>
      </c>
      <c r="H308" s="191">
        <f t="shared" si="408"/>
        <v>1.3800000000000001</v>
      </c>
      <c r="I308" s="191">
        <f t="shared" si="409"/>
        <v>1.4720000000000002</v>
      </c>
      <c r="J308" s="472">
        <f t="shared" si="410"/>
        <v>26</v>
      </c>
      <c r="K308" s="386">
        <f t="shared" si="411"/>
        <v>15.32</v>
      </c>
      <c r="L308" s="386">
        <f t="shared" si="412"/>
        <v>41.32</v>
      </c>
      <c r="M308" s="386"/>
      <c r="N308" s="191">
        <f t="shared" si="413"/>
        <v>0.37076476282671827</v>
      </c>
      <c r="O308" s="152">
        <f t="shared" si="414"/>
        <v>1.574255222808606</v>
      </c>
      <c r="P308" s="152">
        <f t="shared" si="415"/>
        <v>3.4703581800580832</v>
      </c>
      <c r="Q308" s="191">
        <f t="shared" si="416"/>
        <v>0.1049503481872404</v>
      </c>
      <c r="R308" s="191">
        <f t="shared" si="417"/>
        <v>9.8390951425537873E-2</v>
      </c>
      <c r="S308" s="191">
        <f t="shared" si="418"/>
        <v>15</v>
      </c>
      <c r="T308" s="191">
        <f t="shared" si="419"/>
        <v>0.65745375019526453</v>
      </c>
      <c r="U308" s="191">
        <f t="shared" si="420"/>
        <v>1.1884740868914396</v>
      </c>
      <c r="V308" s="191">
        <f t="shared" si="421"/>
        <v>2.016992575664323</v>
      </c>
      <c r="W308" s="175">
        <f t="shared" si="422"/>
        <v>350</v>
      </c>
      <c r="X308" s="386">
        <f t="shared" si="423"/>
        <v>311.96705667894429</v>
      </c>
      <c r="Z308" s="191">
        <f t="shared" si="424"/>
        <v>0.58601117528843016</v>
      </c>
      <c r="AA308" s="153">
        <f t="shared" si="425"/>
        <v>1.7978149633522333</v>
      </c>
      <c r="AB308" s="153">
        <f t="shared" si="426"/>
        <v>8.9211019565034411E-2</v>
      </c>
      <c r="AC308" s="153"/>
      <c r="AD308" s="153">
        <f t="shared" si="427"/>
        <v>0.46018276762402083</v>
      </c>
      <c r="AE308" s="317">
        <f t="shared" si="428"/>
        <v>2665.6075650118214</v>
      </c>
      <c r="AF308" s="463">
        <f t="shared" si="429"/>
        <v>1.2079797650130546E-2</v>
      </c>
      <c r="AH308" s="153">
        <f t="shared" si="430"/>
        <v>0.58885288516295964</v>
      </c>
      <c r="AI308" s="153">
        <f t="shared" si="431"/>
        <v>0.65745375019526453</v>
      </c>
      <c r="AJ308" s="153">
        <f t="shared" si="432"/>
        <v>1.575891666811307</v>
      </c>
      <c r="AL308" s="317">
        <f t="shared" si="433"/>
        <v>92.000000000000014</v>
      </c>
      <c r="AM308" s="147">
        <f t="shared" si="434"/>
        <v>311.96705667894429</v>
      </c>
      <c r="AO308">
        <f t="shared" si="435"/>
        <v>92.000000000000014</v>
      </c>
      <c r="AP308">
        <f t="shared" si="436"/>
        <v>311.96705667894429</v>
      </c>
      <c r="AR308" s="5">
        <f t="shared" si="406"/>
        <v>3.2054666625557626</v>
      </c>
      <c r="AS308" s="5">
        <f t="shared" si="439"/>
        <v>1.1884740868914396</v>
      </c>
      <c r="AT308" s="5">
        <f t="shared" si="440"/>
        <v>2.016992575664323</v>
      </c>
      <c r="AU308" s="153">
        <f t="shared" si="441"/>
        <v>0.37076476282671833</v>
      </c>
      <c r="CI308" s="59">
        <f t="shared" si="437"/>
        <v>-50</v>
      </c>
    </row>
    <row r="309" spans="4:87" x14ac:dyDescent="0.25">
      <c r="E309" s="150">
        <v>93</v>
      </c>
      <c r="F309" s="191">
        <f t="shared" si="438"/>
        <v>9.3000000000000013E-2</v>
      </c>
      <c r="G309" s="191">
        <f t="shared" si="407"/>
        <v>9.3000000000000013E-2</v>
      </c>
      <c r="H309" s="191">
        <f t="shared" si="408"/>
        <v>1.3950000000000002</v>
      </c>
      <c r="I309" s="191">
        <f t="shared" si="409"/>
        <v>1.4880000000000002</v>
      </c>
      <c r="J309" s="472">
        <f t="shared" si="410"/>
        <v>26</v>
      </c>
      <c r="K309" s="386">
        <f t="shared" si="411"/>
        <v>15.32</v>
      </c>
      <c r="L309" s="386">
        <f t="shared" si="412"/>
        <v>41.32</v>
      </c>
      <c r="M309" s="386"/>
      <c r="N309" s="191">
        <f t="shared" si="413"/>
        <v>0.37076476282671827</v>
      </c>
      <c r="O309" s="152">
        <f t="shared" si="414"/>
        <v>1.574255222808606</v>
      </c>
      <c r="P309" s="152">
        <f t="shared" si="415"/>
        <v>3.4703581800580832</v>
      </c>
      <c r="Q309" s="191">
        <f t="shared" si="416"/>
        <v>0.1049503481872404</v>
      </c>
      <c r="R309" s="191">
        <f t="shared" si="417"/>
        <v>9.8390951425537873E-2</v>
      </c>
      <c r="S309" s="191">
        <f t="shared" si="418"/>
        <v>15</v>
      </c>
      <c r="T309" s="191">
        <f t="shared" si="419"/>
        <v>0.66459998661043052</v>
      </c>
      <c r="U309" s="191">
        <f t="shared" si="420"/>
        <v>1.2013922834880859</v>
      </c>
      <c r="V309" s="191">
        <f t="shared" si="421"/>
        <v>2.0389164080085012</v>
      </c>
      <c r="W309" s="175">
        <f t="shared" si="422"/>
        <v>350</v>
      </c>
      <c r="X309" s="386">
        <f t="shared" si="423"/>
        <v>308.61257219852547</v>
      </c>
      <c r="Z309" s="191">
        <f t="shared" si="424"/>
        <v>0.58601117528843016</v>
      </c>
      <c r="AA309" s="153">
        <f t="shared" si="425"/>
        <v>1.7978149633522333</v>
      </c>
      <c r="AB309" s="153">
        <f t="shared" si="426"/>
        <v>8.9211019565034411E-2</v>
      </c>
      <c r="AC309" s="153"/>
      <c r="AD309" s="153">
        <f t="shared" si="427"/>
        <v>0.46018276762402083</v>
      </c>
      <c r="AE309" s="317">
        <f t="shared" si="428"/>
        <v>2694.5815602836888</v>
      </c>
      <c r="AF309" s="463">
        <f t="shared" si="429"/>
        <v>1.2079797650130546E-2</v>
      </c>
      <c r="AH309" s="153">
        <f t="shared" si="430"/>
        <v>0.59204452309368427</v>
      </c>
      <c r="AI309" s="153">
        <f t="shared" si="431"/>
        <v>0.66459998661043052</v>
      </c>
      <c r="AJ309" s="153">
        <f t="shared" si="432"/>
        <v>1.5811851752669854</v>
      </c>
      <c r="AL309" s="317">
        <f t="shared" si="433"/>
        <v>93.000000000000014</v>
      </c>
      <c r="AM309" s="147">
        <f t="shared" si="434"/>
        <v>308.61257219852547</v>
      </c>
      <c r="AO309">
        <f t="shared" si="435"/>
        <v>93.000000000000014</v>
      </c>
      <c r="AP309">
        <f t="shared" si="436"/>
        <v>308.61257219852547</v>
      </c>
      <c r="AR309" s="5">
        <f t="shared" si="406"/>
        <v>3.2403086914965868</v>
      </c>
      <c r="AS309" s="5">
        <f t="shared" si="439"/>
        <v>1.2013922834880859</v>
      </c>
      <c r="AT309" s="5">
        <f t="shared" si="440"/>
        <v>2.0389164080085012</v>
      </c>
      <c r="AU309" s="153">
        <f t="shared" si="441"/>
        <v>0.37076476282671827</v>
      </c>
      <c r="CI309" s="59">
        <f t="shared" si="437"/>
        <v>-50</v>
      </c>
    </row>
    <row r="310" spans="4:87" x14ac:dyDescent="0.25">
      <c r="E310" s="150">
        <v>94</v>
      </c>
      <c r="F310" s="191">
        <f t="shared" si="438"/>
        <v>9.4E-2</v>
      </c>
      <c r="G310" s="191">
        <f t="shared" si="407"/>
        <v>9.4E-2</v>
      </c>
      <c r="H310" s="191">
        <f t="shared" si="408"/>
        <v>1.41</v>
      </c>
      <c r="I310" s="191">
        <f t="shared" si="409"/>
        <v>1.504</v>
      </c>
      <c r="J310" s="472">
        <f t="shared" si="410"/>
        <v>26</v>
      </c>
      <c r="K310" s="386">
        <f t="shared" si="411"/>
        <v>15.32</v>
      </c>
      <c r="L310" s="386">
        <f t="shared" si="412"/>
        <v>41.32</v>
      </c>
      <c r="M310" s="386"/>
      <c r="N310" s="191">
        <f t="shared" si="413"/>
        <v>0.37076476282671827</v>
      </c>
      <c r="O310" s="152">
        <f t="shared" si="414"/>
        <v>1.574255222808606</v>
      </c>
      <c r="P310" s="152">
        <f t="shared" si="415"/>
        <v>3.4703581800580832</v>
      </c>
      <c r="Q310" s="191">
        <f t="shared" si="416"/>
        <v>0.1049503481872404</v>
      </c>
      <c r="R310" s="191">
        <f t="shared" si="417"/>
        <v>9.8390951425537873E-2</v>
      </c>
      <c r="S310" s="191">
        <f t="shared" si="418"/>
        <v>15</v>
      </c>
      <c r="T310" s="191">
        <f t="shared" si="419"/>
        <v>0.67174622302559628</v>
      </c>
      <c r="U310" s="191">
        <f t="shared" si="420"/>
        <v>1.2143104800847315</v>
      </c>
      <c r="V310" s="191">
        <f t="shared" si="421"/>
        <v>2.0608402403526775</v>
      </c>
      <c r="W310" s="175">
        <f t="shared" si="422"/>
        <v>350</v>
      </c>
      <c r="X310" s="386">
        <f t="shared" si="423"/>
        <v>305.32945972832846</v>
      </c>
      <c r="Z310" s="191">
        <f t="shared" si="424"/>
        <v>0.58601117528843016</v>
      </c>
      <c r="AA310" s="153">
        <f t="shared" si="425"/>
        <v>1.7978149633522333</v>
      </c>
      <c r="AB310" s="153">
        <f t="shared" si="426"/>
        <v>8.9211019565034411E-2</v>
      </c>
      <c r="AC310" s="153"/>
      <c r="AD310" s="153">
        <f t="shared" si="427"/>
        <v>0.46018276762402083</v>
      </c>
      <c r="AE310" s="317">
        <f t="shared" si="428"/>
        <v>2723.5555555555561</v>
      </c>
      <c r="AF310" s="463">
        <f t="shared" si="429"/>
        <v>1.2079797650130546E-2</v>
      </c>
      <c r="AH310" s="153">
        <f t="shared" si="430"/>
        <v>0.59521904731427588</v>
      </c>
      <c r="AI310" s="153">
        <f t="shared" si="431"/>
        <v>0.67174622302559628</v>
      </c>
      <c r="AJ310" s="153">
        <f t="shared" si="432"/>
        <v>1.5864786837226639</v>
      </c>
      <c r="AL310" s="317">
        <f t="shared" si="433"/>
        <v>94</v>
      </c>
      <c r="AM310" s="147">
        <f t="shared" si="434"/>
        <v>305.32945972832846</v>
      </c>
      <c r="AO310">
        <f t="shared" si="435"/>
        <v>94</v>
      </c>
      <c r="AP310">
        <f t="shared" si="436"/>
        <v>305.32945972832846</v>
      </c>
      <c r="AR310" s="5">
        <f t="shared" si="406"/>
        <v>3.2751507204374093</v>
      </c>
      <c r="AS310" s="5">
        <f t="shared" si="439"/>
        <v>1.2143104800847315</v>
      </c>
      <c r="AT310" s="5">
        <f t="shared" si="440"/>
        <v>2.060840240352678</v>
      </c>
      <c r="AU310" s="153">
        <f t="shared" si="441"/>
        <v>0.37076476282671827</v>
      </c>
      <c r="CI310" s="59">
        <f t="shared" si="437"/>
        <v>-50</v>
      </c>
    </row>
    <row r="311" spans="4:87" x14ac:dyDescent="0.25">
      <c r="E311" s="150">
        <v>95</v>
      </c>
      <c r="F311" s="191">
        <f t="shared" si="438"/>
        <v>9.5000000000000001E-2</v>
      </c>
      <c r="G311" s="191">
        <f t="shared" si="407"/>
        <v>9.5000000000000001E-2</v>
      </c>
      <c r="H311" s="191">
        <f t="shared" si="408"/>
        <v>1.425</v>
      </c>
      <c r="I311" s="191">
        <f t="shared" si="409"/>
        <v>1.52</v>
      </c>
      <c r="J311" s="472">
        <f t="shared" si="410"/>
        <v>26</v>
      </c>
      <c r="K311" s="386">
        <f t="shared" si="411"/>
        <v>15.32</v>
      </c>
      <c r="L311" s="386">
        <f t="shared" si="412"/>
        <v>41.32</v>
      </c>
      <c r="M311" s="386"/>
      <c r="N311" s="191">
        <f t="shared" si="413"/>
        <v>0.37076476282671827</v>
      </c>
      <c r="O311" s="152">
        <f t="shared" si="414"/>
        <v>1.574255222808606</v>
      </c>
      <c r="P311" s="152">
        <f t="shared" si="415"/>
        <v>3.4703581800580832</v>
      </c>
      <c r="Q311" s="191">
        <f t="shared" si="416"/>
        <v>0.1049503481872404</v>
      </c>
      <c r="R311" s="191">
        <f t="shared" si="417"/>
        <v>9.8390951425537873E-2</v>
      </c>
      <c r="S311" s="191">
        <f t="shared" si="418"/>
        <v>15</v>
      </c>
      <c r="T311" s="191">
        <f t="shared" si="419"/>
        <v>0.67889245944076237</v>
      </c>
      <c r="U311" s="191">
        <f t="shared" si="420"/>
        <v>1.227228676681378</v>
      </c>
      <c r="V311" s="191">
        <f t="shared" si="421"/>
        <v>2.0827640726968557</v>
      </c>
      <c r="W311" s="175">
        <f t="shared" si="422"/>
        <v>350</v>
      </c>
      <c r="X311" s="386">
        <f t="shared" si="423"/>
        <v>302.11546541539866</v>
      </c>
      <c r="Z311" s="191">
        <f t="shared" si="424"/>
        <v>0.58601117528843016</v>
      </c>
      <c r="AA311" s="153">
        <f t="shared" si="425"/>
        <v>1.7978149633522333</v>
      </c>
      <c r="AB311" s="153">
        <f t="shared" si="426"/>
        <v>8.9211019565034411E-2</v>
      </c>
      <c r="AC311" s="153"/>
      <c r="AD311" s="153">
        <f t="shared" si="427"/>
        <v>0.46018276762402083</v>
      </c>
      <c r="AE311" s="317">
        <f t="shared" si="428"/>
        <v>2752.5295508274235</v>
      </c>
      <c r="AF311" s="463">
        <f t="shared" si="429"/>
        <v>1.2079797650130546E-2</v>
      </c>
      <c r="AH311" s="153">
        <f t="shared" si="430"/>
        <v>0.59837673020113391</v>
      </c>
      <c r="AI311" s="153">
        <f t="shared" si="431"/>
        <v>0.67889245944076237</v>
      </c>
      <c r="AJ311" s="153">
        <f t="shared" si="432"/>
        <v>1.5917721921783423</v>
      </c>
      <c r="AL311" s="317">
        <f t="shared" si="433"/>
        <v>95</v>
      </c>
      <c r="AM311" s="147">
        <f t="shared" si="434"/>
        <v>302.11546541539866</v>
      </c>
      <c r="AO311">
        <f t="shared" si="435"/>
        <v>95</v>
      </c>
      <c r="AP311">
        <f t="shared" si="436"/>
        <v>302.11546541539866</v>
      </c>
      <c r="AR311" s="5">
        <f t="shared" si="406"/>
        <v>3.3099927493782335</v>
      </c>
      <c r="AS311" s="5">
        <f t="shared" si="439"/>
        <v>1.227228676681378</v>
      </c>
      <c r="AT311" s="5">
        <f t="shared" si="440"/>
        <v>2.0827640726968557</v>
      </c>
      <c r="AU311" s="153">
        <f t="shared" si="441"/>
        <v>0.37076476282671833</v>
      </c>
      <c r="CI311" s="59">
        <f t="shared" si="437"/>
        <v>-50</v>
      </c>
    </row>
    <row r="312" spans="4:87" x14ac:dyDescent="0.25">
      <c r="E312" s="150">
        <v>96</v>
      </c>
      <c r="F312" s="191">
        <f t="shared" si="438"/>
        <v>9.6000000000000002E-2</v>
      </c>
      <c r="G312" s="191">
        <f t="shared" si="407"/>
        <v>9.6000000000000002E-2</v>
      </c>
      <c r="H312" s="191">
        <f t="shared" si="408"/>
        <v>1.44</v>
      </c>
      <c r="I312" s="191">
        <f t="shared" si="409"/>
        <v>1.536</v>
      </c>
      <c r="J312" s="472">
        <f t="shared" si="410"/>
        <v>26</v>
      </c>
      <c r="K312" s="386">
        <f t="shared" si="411"/>
        <v>15.32</v>
      </c>
      <c r="L312" s="386">
        <f t="shared" si="412"/>
        <v>41.32</v>
      </c>
      <c r="M312" s="386"/>
      <c r="N312" s="191">
        <f t="shared" si="413"/>
        <v>0.37076476282671827</v>
      </c>
      <c r="O312" s="152">
        <f t="shared" ref="O312:O316" si="442">N312*J312*Isw_max*0.5*Efficiency*Pout/(Pout+Pout2)</f>
        <v>1.574255222808606</v>
      </c>
      <c r="P312" s="152">
        <f t="shared" si="415"/>
        <v>3.4703581800580832</v>
      </c>
      <c r="Q312" s="191">
        <f t="shared" si="416"/>
        <v>0.1049503481872404</v>
      </c>
      <c r="R312" s="191">
        <f t="shared" si="417"/>
        <v>9.8390951425537873E-2</v>
      </c>
      <c r="S312" s="191">
        <f t="shared" si="418"/>
        <v>15</v>
      </c>
      <c r="T312" s="191">
        <f t="shared" si="419"/>
        <v>0.68603869585592814</v>
      </c>
      <c r="U312" s="191">
        <f t="shared" si="420"/>
        <v>1.2401468732780239</v>
      </c>
      <c r="V312" s="191">
        <f t="shared" si="421"/>
        <v>2.104687905041033</v>
      </c>
      <c r="W312" s="175">
        <f t="shared" si="422"/>
        <v>350</v>
      </c>
      <c r="X312" s="386">
        <f t="shared" si="423"/>
        <v>298.96842931732158</v>
      </c>
      <c r="Z312" s="191">
        <f t="shared" si="424"/>
        <v>0.58601117528843016</v>
      </c>
      <c r="AA312" s="153">
        <f t="shared" si="425"/>
        <v>1.7978149633522333</v>
      </c>
      <c r="AB312" s="153">
        <f t="shared" ref="AB312:AB316" si="443">0.5*AA312*Z312*Nps*W312/1000*(Pout/(Pout+Pout2))</f>
        <v>8.9211019565034411E-2</v>
      </c>
      <c r="AC312" s="153"/>
      <c r="AD312" s="153">
        <f t="shared" si="427"/>
        <v>0.46018276762402083</v>
      </c>
      <c r="AE312" s="317">
        <f t="shared" ref="AE312:AE316" si="444">MAX(10, F312/(0.5*AD312/1000000*Isw_min*Nps)/1000*Pout_total/Pout)</f>
        <v>2781.5035460992917</v>
      </c>
      <c r="AF312" s="463">
        <f t="shared" si="429"/>
        <v>1.2079797650130546E-2</v>
      </c>
      <c r="AH312" s="153">
        <f t="shared" si="430"/>
        <v>0.60151783698132089</v>
      </c>
      <c r="AI312" s="153">
        <f t="shared" ref="AI312:AI316" si="445">MAX(IF(F312&gt;AB312,T312,AH312),Isw_min)</f>
        <v>0.68603869585592814</v>
      </c>
      <c r="AJ312" s="153">
        <f t="shared" ref="AJ312:AJ316" si="446">IF(F312&gt;AF312, (AI312-Isw_min)/1.08*0.8+1.2, AE312*0.2/350+1)</f>
        <v>1.5970657006340208</v>
      </c>
      <c r="AL312" s="317">
        <f t="shared" si="433"/>
        <v>96</v>
      </c>
      <c r="AM312" s="147">
        <f t="shared" si="434"/>
        <v>298.96842931732158</v>
      </c>
      <c r="AO312">
        <f t="shared" si="435"/>
        <v>96</v>
      </c>
      <c r="AP312">
        <f t="shared" si="436"/>
        <v>298.96842931732158</v>
      </c>
      <c r="AR312" s="5">
        <f t="shared" si="406"/>
        <v>3.3448347783190568</v>
      </c>
      <c r="AS312" s="5">
        <f t="shared" si="439"/>
        <v>1.2401468732780239</v>
      </c>
      <c r="AT312" s="5">
        <f t="shared" si="440"/>
        <v>2.104687905041033</v>
      </c>
      <c r="AU312" s="153">
        <f t="shared" si="441"/>
        <v>0.37076476282671827</v>
      </c>
      <c r="CI312" s="59">
        <f t="shared" si="437"/>
        <v>-50</v>
      </c>
    </row>
    <row r="313" spans="4:87" x14ac:dyDescent="0.25">
      <c r="E313" s="150">
        <v>97</v>
      </c>
      <c r="F313" s="191">
        <f t="shared" ref="F313:F316" si="447">IF(PLOT_TYPE=1, E313/100*Iout_max, min_I*EXP(O313*rr/100))</f>
        <v>9.7000000000000003E-2</v>
      </c>
      <c r="G313" s="191">
        <f t="shared" si="407"/>
        <v>9.7000000000000003E-2</v>
      </c>
      <c r="H313" s="191">
        <f t="shared" si="408"/>
        <v>1.4550000000000001</v>
      </c>
      <c r="I313" s="191">
        <f t="shared" si="409"/>
        <v>1.552</v>
      </c>
      <c r="J313" s="472">
        <f t="shared" si="410"/>
        <v>26</v>
      </c>
      <c r="K313" s="386">
        <f t="shared" si="411"/>
        <v>15.32</v>
      </c>
      <c r="L313" s="386">
        <f t="shared" si="412"/>
        <v>41.32</v>
      </c>
      <c r="M313" s="386"/>
      <c r="N313" s="191">
        <f t="shared" si="413"/>
        <v>0.37076476282671827</v>
      </c>
      <c r="O313" s="152">
        <f t="shared" si="442"/>
        <v>1.574255222808606</v>
      </c>
      <c r="P313" s="152">
        <f t="shared" si="415"/>
        <v>3.4703581800580832</v>
      </c>
      <c r="Q313" s="191">
        <f t="shared" si="416"/>
        <v>0.1049503481872404</v>
      </c>
      <c r="R313" s="191">
        <f t="shared" si="417"/>
        <v>9.8390951425537873E-2</v>
      </c>
      <c r="S313" s="191">
        <f t="shared" si="418"/>
        <v>15</v>
      </c>
      <c r="T313" s="191">
        <f t="shared" si="419"/>
        <v>0.69318493227109412</v>
      </c>
      <c r="U313" s="191">
        <f t="shared" si="420"/>
        <v>1.2530650698746701</v>
      </c>
      <c r="V313" s="191">
        <f t="shared" si="421"/>
        <v>2.1266117373852103</v>
      </c>
      <c r="W313" s="175">
        <f t="shared" si="422"/>
        <v>350</v>
      </c>
      <c r="X313" s="386">
        <f t="shared" si="423"/>
        <v>295.88628056147292</v>
      </c>
      <c r="Z313" s="191">
        <f t="shared" si="424"/>
        <v>0.58601117528843016</v>
      </c>
      <c r="AA313" s="153">
        <f t="shared" si="425"/>
        <v>1.7978149633522333</v>
      </c>
      <c r="AB313" s="153">
        <f t="shared" si="443"/>
        <v>8.9211019565034411E-2</v>
      </c>
      <c r="AC313" s="153"/>
      <c r="AD313" s="153">
        <f t="shared" si="427"/>
        <v>0.46018276762402083</v>
      </c>
      <c r="AE313" s="317">
        <f t="shared" si="444"/>
        <v>2810.4775413711591</v>
      </c>
      <c r="AF313" s="463">
        <f t="shared" si="429"/>
        <v>1.2079797650130546E-2</v>
      </c>
      <c r="AH313" s="153">
        <f t="shared" si="430"/>
        <v>0.60464262599255547</v>
      </c>
      <c r="AI313" s="153">
        <f t="shared" si="445"/>
        <v>0.69318493227109412</v>
      </c>
      <c r="AJ313" s="153">
        <f t="shared" si="446"/>
        <v>1.6023592090896992</v>
      </c>
      <c r="AL313" s="317">
        <f t="shared" si="433"/>
        <v>97</v>
      </c>
      <c r="AM313" s="147">
        <f t="shared" si="434"/>
        <v>295.88628056147292</v>
      </c>
      <c r="AO313">
        <f t="shared" si="435"/>
        <v>97</v>
      </c>
      <c r="AP313">
        <f t="shared" si="436"/>
        <v>295.88628056147292</v>
      </c>
      <c r="AR313" s="5">
        <f t="shared" si="406"/>
        <v>3.3796768072598802</v>
      </c>
      <c r="AS313" s="5">
        <f t="shared" si="439"/>
        <v>1.2530650698746701</v>
      </c>
      <c r="AT313" s="5">
        <f t="shared" si="440"/>
        <v>2.1266117373852103</v>
      </c>
      <c r="AU313" s="153">
        <f t="shared" si="441"/>
        <v>0.37076476282671833</v>
      </c>
      <c r="CI313" s="59">
        <f t="shared" si="437"/>
        <v>-50</v>
      </c>
    </row>
    <row r="314" spans="4:87" x14ac:dyDescent="0.25">
      <c r="E314" s="150">
        <v>98</v>
      </c>
      <c r="F314" s="191">
        <f t="shared" si="447"/>
        <v>9.8000000000000004E-2</v>
      </c>
      <c r="G314" s="191">
        <f t="shared" si="407"/>
        <v>9.8000000000000004E-2</v>
      </c>
      <c r="H314" s="191">
        <f t="shared" si="408"/>
        <v>1.47</v>
      </c>
      <c r="I314" s="191">
        <f t="shared" si="409"/>
        <v>1.5680000000000001</v>
      </c>
      <c r="J314" s="472">
        <f t="shared" si="410"/>
        <v>26</v>
      </c>
      <c r="K314" s="386">
        <f t="shared" si="411"/>
        <v>15.32</v>
      </c>
      <c r="L314" s="386">
        <f t="shared" si="412"/>
        <v>41.32</v>
      </c>
      <c r="M314" s="386"/>
      <c r="N314" s="191">
        <f t="shared" si="413"/>
        <v>0.37076476282671827</v>
      </c>
      <c r="O314" s="152">
        <f t="shared" si="442"/>
        <v>1.574255222808606</v>
      </c>
      <c r="P314" s="152">
        <f t="shared" si="415"/>
        <v>3.4703581800580832</v>
      </c>
      <c r="Q314" s="191">
        <f t="shared" si="416"/>
        <v>0.1049503481872404</v>
      </c>
      <c r="R314" s="191">
        <f t="shared" si="417"/>
        <v>9.8390951425537873E-2</v>
      </c>
      <c r="S314" s="191">
        <f t="shared" si="418"/>
        <v>15</v>
      </c>
      <c r="T314" s="191">
        <f t="shared" si="419"/>
        <v>0.70033116868626011</v>
      </c>
      <c r="U314" s="191">
        <f t="shared" si="420"/>
        <v>1.2659832664713162</v>
      </c>
      <c r="V314" s="191">
        <f t="shared" si="421"/>
        <v>2.1485355697293875</v>
      </c>
      <c r="W314" s="175">
        <f t="shared" si="422"/>
        <v>350</v>
      </c>
      <c r="X314" s="386">
        <f t="shared" si="423"/>
        <v>292.8670328006416</v>
      </c>
      <c r="Z314" s="191">
        <f t="shared" si="424"/>
        <v>0.58601117528843016</v>
      </c>
      <c r="AA314" s="153">
        <f t="shared" si="425"/>
        <v>1.7978149633522333</v>
      </c>
      <c r="AB314" s="153">
        <f t="shared" si="443"/>
        <v>8.9211019565034411E-2</v>
      </c>
      <c r="AC314" s="153"/>
      <c r="AD314" s="153">
        <f t="shared" si="427"/>
        <v>0.46018276762402083</v>
      </c>
      <c r="AE314" s="317">
        <f t="shared" si="444"/>
        <v>2839.4515366430264</v>
      </c>
      <c r="AF314" s="463">
        <f t="shared" si="429"/>
        <v>1.2079797650130546E-2</v>
      </c>
      <c r="AH314" s="153">
        <f t="shared" si="430"/>
        <v>0.60775134893117233</v>
      </c>
      <c r="AI314" s="153">
        <f t="shared" si="445"/>
        <v>0.70033116868626011</v>
      </c>
      <c r="AJ314" s="153">
        <f t="shared" si="446"/>
        <v>1.6076527175453779</v>
      </c>
      <c r="AL314" s="317">
        <f t="shared" si="433"/>
        <v>98</v>
      </c>
      <c r="AM314" s="147">
        <f t="shared" si="434"/>
        <v>292.8670328006416</v>
      </c>
      <c r="AO314">
        <f t="shared" si="435"/>
        <v>98</v>
      </c>
      <c r="AP314">
        <f t="shared" si="436"/>
        <v>292.8670328006416</v>
      </c>
      <c r="AR314" s="5">
        <f t="shared" si="406"/>
        <v>3.4145188362007035</v>
      </c>
      <c r="AS314" s="5">
        <f t="shared" si="439"/>
        <v>1.2659832664713162</v>
      </c>
      <c r="AT314" s="5">
        <f t="shared" si="440"/>
        <v>2.1485355697293871</v>
      </c>
      <c r="AU314" s="153">
        <f t="shared" si="441"/>
        <v>0.37076476282671833</v>
      </c>
      <c r="CI314" s="59">
        <f t="shared" si="437"/>
        <v>-50</v>
      </c>
    </row>
    <row r="315" spans="4:87" x14ac:dyDescent="0.25">
      <c r="E315" s="150">
        <v>99</v>
      </c>
      <c r="F315" s="191">
        <f t="shared" si="447"/>
        <v>9.9000000000000005E-2</v>
      </c>
      <c r="G315" s="191">
        <f t="shared" si="407"/>
        <v>9.9000000000000005E-2</v>
      </c>
      <c r="H315" s="191">
        <f t="shared" si="408"/>
        <v>1.4850000000000001</v>
      </c>
      <c r="I315" s="191">
        <f t="shared" si="409"/>
        <v>1.5840000000000001</v>
      </c>
      <c r="J315" s="472">
        <f t="shared" si="410"/>
        <v>26</v>
      </c>
      <c r="K315" s="386">
        <f t="shared" si="411"/>
        <v>15.32</v>
      </c>
      <c r="L315" s="386">
        <f t="shared" si="412"/>
        <v>41.32</v>
      </c>
      <c r="M315" s="386"/>
      <c r="N315" s="191">
        <f t="shared" si="413"/>
        <v>0.37076476282671827</v>
      </c>
      <c r="O315" s="152">
        <f t="shared" si="442"/>
        <v>1.574255222808606</v>
      </c>
      <c r="P315" s="152">
        <f t="shared" si="415"/>
        <v>3.4703581800580832</v>
      </c>
      <c r="Q315" s="191">
        <f t="shared" si="416"/>
        <v>0.1049503481872404</v>
      </c>
      <c r="R315" s="191">
        <f t="shared" si="417"/>
        <v>9.8390951425537873E-2</v>
      </c>
      <c r="S315" s="191">
        <f t="shared" si="418"/>
        <v>15</v>
      </c>
      <c r="T315" s="191">
        <f t="shared" si="419"/>
        <v>0.70747740510142587</v>
      </c>
      <c r="U315" s="191">
        <f t="shared" si="420"/>
        <v>1.278901463067962</v>
      </c>
      <c r="V315" s="191">
        <f t="shared" si="421"/>
        <v>2.1704594020735648</v>
      </c>
      <c r="W315" s="175">
        <f t="shared" si="422"/>
        <v>350</v>
      </c>
      <c r="X315" s="386">
        <f t="shared" si="423"/>
        <v>289.90877994406952</v>
      </c>
      <c r="Z315" s="191">
        <f t="shared" si="424"/>
        <v>0.58601117528843016</v>
      </c>
      <c r="AA315" s="153">
        <f t="shared" si="425"/>
        <v>1.7978149633522333</v>
      </c>
      <c r="AB315" s="153">
        <f t="shared" si="443"/>
        <v>8.9211019565034411E-2</v>
      </c>
      <c r="AC315" s="153"/>
      <c r="AD315" s="153">
        <f t="shared" si="427"/>
        <v>0.46018276762402083</v>
      </c>
      <c r="AE315" s="317">
        <f t="shared" si="444"/>
        <v>2868.4255319148947</v>
      </c>
      <c r="AF315" s="463">
        <f t="shared" si="429"/>
        <v>1.2079797650130546E-2</v>
      </c>
      <c r="AH315" s="153">
        <f t="shared" si="430"/>
        <v>0.61084425108872542</v>
      </c>
      <c r="AI315" s="153">
        <f t="shared" si="445"/>
        <v>0.70747740510142587</v>
      </c>
      <c r="AJ315" s="153">
        <f t="shared" si="446"/>
        <v>1.6129462260010561</v>
      </c>
      <c r="AL315" s="317">
        <f t="shared" si="433"/>
        <v>99</v>
      </c>
      <c r="AM315" s="147">
        <f t="shared" si="434"/>
        <v>289.90877994406952</v>
      </c>
      <c r="AO315">
        <f t="shared" si="435"/>
        <v>99</v>
      </c>
      <c r="AP315">
        <f t="shared" si="436"/>
        <v>289.90877994406952</v>
      </c>
      <c r="AR315" s="5">
        <f t="shared" si="406"/>
        <v>3.4493608651415264</v>
      </c>
      <c r="AS315" s="5">
        <f t="shared" si="439"/>
        <v>1.278901463067962</v>
      </c>
      <c r="AT315" s="5">
        <f t="shared" si="440"/>
        <v>2.1704594020735644</v>
      </c>
      <c r="AU315" s="153">
        <f t="shared" si="441"/>
        <v>0.37076476282671833</v>
      </c>
      <c r="CI315" s="59">
        <f t="shared" si="437"/>
        <v>-50</v>
      </c>
    </row>
    <row r="316" spans="4:87" x14ac:dyDescent="0.25">
      <c r="E316" s="150">
        <v>100</v>
      </c>
      <c r="F316" s="191">
        <f t="shared" si="447"/>
        <v>0.1</v>
      </c>
      <c r="G316" s="191">
        <f t="shared" si="407"/>
        <v>0.1</v>
      </c>
      <c r="H316" s="191">
        <f t="shared" si="408"/>
        <v>1.5</v>
      </c>
      <c r="I316" s="191">
        <f t="shared" si="409"/>
        <v>1.6</v>
      </c>
      <c r="J316" s="472">
        <f t="shared" si="410"/>
        <v>26</v>
      </c>
      <c r="K316" s="386">
        <f t="shared" si="411"/>
        <v>15.32</v>
      </c>
      <c r="L316" s="386">
        <f t="shared" si="412"/>
        <v>41.32</v>
      </c>
      <c r="M316" s="386"/>
      <c r="N316" s="191">
        <f t="shared" si="413"/>
        <v>0.37076476282671827</v>
      </c>
      <c r="O316" s="152">
        <f t="shared" si="442"/>
        <v>1.574255222808606</v>
      </c>
      <c r="P316" s="152">
        <f t="shared" si="415"/>
        <v>3.4703581800580832</v>
      </c>
      <c r="Q316" s="191">
        <f t="shared" si="416"/>
        <v>0.1049503481872404</v>
      </c>
      <c r="R316" s="191">
        <f t="shared" si="417"/>
        <v>9.8390951425537873E-2</v>
      </c>
      <c r="S316" s="191">
        <f t="shared" si="418"/>
        <v>15</v>
      </c>
      <c r="T316" s="191">
        <f t="shared" si="419"/>
        <v>0.71462364151659186</v>
      </c>
      <c r="U316" s="191">
        <f t="shared" si="420"/>
        <v>1.2918196596646083</v>
      </c>
      <c r="V316" s="191">
        <f t="shared" si="421"/>
        <v>2.1923832344177421</v>
      </c>
      <c r="W316" s="175">
        <f t="shared" si="422"/>
        <v>350</v>
      </c>
      <c r="X316" s="386">
        <f t="shared" si="423"/>
        <v>287.00969214462879</v>
      </c>
      <c r="Z316" s="191">
        <f t="shared" si="424"/>
        <v>0.58601117528843016</v>
      </c>
      <c r="AA316" s="153">
        <f t="shared" si="425"/>
        <v>1.7978149633522333</v>
      </c>
      <c r="AB316" s="153">
        <f t="shared" si="443"/>
        <v>8.9211019565034411E-2</v>
      </c>
      <c r="AC316" s="153"/>
      <c r="AD316" s="153">
        <f t="shared" si="427"/>
        <v>0.46018276762402083</v>
      </c>
      <c r="AE316" s="317">
        <f t="shared" si="444"/>
        <v>2897.399527186762</v>
      </c>
      <c r="AF316" s="463">
        <f t="shared" si="429"/>
        <v>1.2079797650130546E-2</v>
      </c>
      <c r="AH316" s="153">
        <f t="shared" si="430"/>
        <v>0.61392157157786231</v>
      </c>
      <c r="AI316" s="153">
        <f t="shared" si="445"/>
        <v>0.71462364151659186</v>
      </c>
      <c r="AJ316" s="153">
        <f t="shared" si="446"/>
        <v>1.6182397344567347</v>
      </c>
      <c r="AL316" s="317">
        <f t="shared" si="433"/>
        <v>100</v>
      </c>
      <c r="AM316" s="147">
        <f t="shared" si="434"/>
        <v>287.00969214462879</v>
      </c>
      <c r="AO316">
        <f t="shared" si="435"/>
        <v>100</v>
      </c>
      <c r="AP316">
        <f t="shared" si="436"/>
        <v>287.00969214462879</v>
      </c>
      <c r="AR316" s="5">
        <f t="shared" si="406"/>
        <v>3.4842028940823502</v>
      </c>
      <c r="AS316" s="5">
        <f t="shared" si="439"/>
        <v>1.2918196596646083</v>
      </c>
      <c r="AT316" s="5">
        <f t="shared" si="440"/>
        <v>2.1923832344177416</v>
      </c>
      <c r="AU316" s="153">
        <f t="shared" si="441"/>
        <v>0.37076476282671839</v>
      </c>
      <c r="CI316" s="59">
        <f t="shared" si="437"/>
        <v>-50</v>
      </c>
    </row>
    <row r="317" spans="4:87" x14ac:dyDescent="0.25">
      <c r="E317" s="150"/>
      <c r="F317" s="191"/>
      <c r="G317" s="191"/>
    </row>
    <row r="319" spans="4:87" x14ac:dyDescent="0.25">
      <c r="D319" s="59" t="s">
        <v>824</v>
      </c>
    </row>
    <row r="320" spans="4:87" x14ac:dyDescent="0.25">
      <c r="E320" s="59" t="s">
        <v>840</v>
      </c>
      <c r="K320" s="59"/>
      <c r="L320" s="59" t="s">
        <v>844</v>
      </c>
    </row>
    <row r="321" spans="5:16" x14ac:dyDescent="0.25">
      <c r="F321" s="59" t="s">
        <v>841</v>
      </c>
      <c r="G321" s="59" t="s">
        <v>842</v>
      </c>
      <c r="M321" s="59" t="s">
        <v>845</v>
      </c>
      <c r="N321" s="59" t="s">
        <v>846</v>
      </c>
    </row>
    <row r="322" spans="5:16" x14ac:dyDescent="0.25">
      <c r="F322">
        <f>'LM(2)518x PSR flyback converter'!E57</f>
        <v>0.01</v>
      </c>
      <c r="G322" s="649">
        <f>F322*Vout</f>
        <v>0.15</v>
      </c>
      <c r="M322">
        <f>'LM(2)518x PSR flyback converter'!L57</f>
        <v>-5.0000000000000001E-3</v>
      </c>
      <c r="N322" s="649">
        <f>M322*'LM(2)518x PSR flyback converter'!E12</f>
        <v>0.08</v>
      </c>
    </row>
    <row r="323" spans="5:16" x14ac:dyDescent="0.25">
      <c r="E323" t="s">
        <v>832</v>
      </c>
      <c r="L323" t="s">
        <v>832</v>
      </c>
    </row>
    <row r="324" spans="5:16" x14ac:dyDescent="0.25">
      <c r="F324" t="s">
        <v>833</v>
      </c>
      <c r="G324" t="s">
        <v>834</v>
      </c>
      <c r="H324" t="s">
        <v>835</v>
      </c>
      <c r="I324" s="59" t="s">
        <v>676</v>
      </c>
      <c r="M324" t="s">
        <v>833</v>
      </c>
      <c r="N324" t="s">
        <v>834</v>
      </c>
      <c r="O324" t="s">
        <v>835</v>
      </c>
      <c r="P324" s="59" t="s">
        <v>676</v>
      </c>
    </row>
    <row r="325" spans="5:16" x14ac:dyDescent="0.25">
      <c r="F325" s="648">
        <v>1.9999999999999999E-7</v>
      </c>
      <c r="G325">
        <f>VIN_max</f>
        <v>26</v>
      </c>
      <c r="H325">
        <f>15000</f>
        <v>15000</v>
      </c>
      <c r="I325">
        <f>L*0.9</f>
        <v>4.2299999999999998E-5</v>
      </c>
      <c r="M325" s="648">
        <v>1.9999999999999999E-7</v>
      </c>
      <c r="N325">
        <f>VIN_max</f>
        <v>26</v>
      </c>
      <c r="O325">
        <f>15000</f>
        <v>15000</v>
      </c>
      <c r="P325">
        <f>L*0.9</f>
        <v>4.2299999999999998E-5</v>
      </c>
    </row>
    <row r="326" spans="5:16" x14ac:dyDescent="0.25">
      <c r="G326" s="59" t="s">
        <v>836</v>
      </c>
      <c r="N326" s="59" t="s">
        <v>836</v>
      </c>
    </row>
    <row r="327" spans="5:16" x14ac:dyDescent="0.25">
      <c r="G327" s="649">
        <f>0.5*(G325/I325*F325)^2*H325*I325</f>
        <v>4.7943262411347517E-3</v>
      </c>
      <c r="N327" s="649">
        <f>0.5*(N325/P325*M325)^2*O325*P325</f>
        <v>4.7943262411347517E-3</v>
      </c>
    </row>
    <row r="328" spans="5:16" x14ac:dyDescent="0.25">
      <c r="E328" s="59" t="s">
        <v>843</v>
      </c>
      <c r="K328" s="59"/>
      <c r="L328" s="59" t="s">
        <v>847</v>
      </c>
    </row>
    <row r="329" spans="5:16" x14ac:dyDescent="0.25">
      <c r="G329" t="str">
        <f>IF(G322+N322&lt;G327, "Yes", IF(G322&lt;G327, "Yes", "No"))</f>
        <v>No</v>
      </c>
      <c r="H329">
        <f>(Vout*1.05)^2/(G327-G322)</f>
        <v>-1708.3526667969131</v>
      </c>
      <c r="N329" t="str">
        <f>IF(G322+N322&lt;N327, "Yes", IF(N322&lt;N327, "Yes", "No"))</f>
        <v>No</v>
      </c>
      <c r="O329">
        <f>(Vout2*1.05)^2/(N327-N322)</f>
        <v>-3752.9083364768012</v>
      </c>
    </row>
    <row r="332" spans="5:16" x14ac:dyDescent="0.25">
      <c r="E332" s="59"/>
    </row>
    <row r="333" spans="5:16" x14ac:dyDescent="0.25">
      <c r="F333" s="59"/>
      <c r="G333" s="59"/>
    </row>
    <row r="334" spans="5:16" x14ac:dyDescent="0.25">
      <c r="G334" s="649"/>
    </row>
    <row r="336" spans="5:16" x14ac:dyDescent="0.25">
      <c r="I336" s="59"/>
    </row>
    <row r="337" spans="5:7" x14ac:dyDescent="0.25">
      <c r="F337" s="648"/>
    </row>
    <row r="338" spans="5:7" x14ac:dyDescent="0.25">
      <c r="G338" s="59"/>
    </row>
    <row r="339" spans="5:7" x14ac:dyDescent="0.25">
      <c r="G339" s="649"/>
    </row>
    <row r="340" spans="5:7" x14ac:dyDescent="0.25">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3.2" x14ac:dyDescent="0.25"/>
  <cols>
    <col min="3" max="3" width="7.6640625" customWidth="1"/>
    <col min="5" max="5" width="10.33203125" customWidth="1"/>
    <col min="7" max="7" width="10.6640625" customWidth="1"/>
    <col min="8" max="8" width="9.6640625" customWidth="1"/>
    <col min="9" max="9" width="9.5546875" customWidth="1"/>
    <col min="10" max="10" width="8.6640625" customWidth="1"/>
    <col min="11" max="11" width="9.6640625" customWidth="1"/>
    <col min="12" max="12" width="10.6640625" customWidth="1"/>
    <col min="13" max="13" width="15" customWidth="1"/>
    <col min="14" max="14" width="11.44140625" customWidth="1"/>
    <col min="15" max="16" width="11" customWidth="1"/>
    <col min="17" max="18" width="11.33203125" customWidth="1"/>
    <col min="19" max="19" width="5.33203125" customWidth="1"/>
  </cols>
  <sheetData>
    <row r="3" spans="3:19" ht="13.8" thickBot="1" x14ac:dyDescent="0.3"/>
    <row r="4" spans="3:19" x14ac:dyDescent="0.25">
      <c r="C4" s="194" t="s">
        <v>428</v>
      </c>
      <c r="D4" s="195"/>
      <c r="E4" s="196"/>
      <c r="F4" s="728" t="s">
        <v>189</v>
      </c>
      <c r="G4" s="729"/>
      <c r="H4" s="728"/>
      <c r="I4" s="728"/>
      <c r="J4" s="728"/>
      <c r="K4" s="729"/>
      <c r="L4" s="729"/>
      <c r="M4" s="729"/>
      <c r="N4" s="728"/>
      <c r="O4" s="731"/>
      <c r="P4" s="468"/>
      <c r="Q4" s="468"/>
      <c r="R4" s="468"/>
      <c r="S4" s="468"/>
    </row>
    <row r="5" spans="3:19" ht="45" customHeight="1" thickBot="1" x14ac:dyDescent="0.3">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5">
      <c r="C6" s="150">
        <v>0.1</v>
      </c>
      <c r="D6" s="464">
        <f>VIN_min</f>
        <v>13</v>
      </c>
      <c r="E6" s="386">
        <f t="shared" ref="E6:E37" si="0">(Vout+Vfwd1)*Nps</f>
        <v>15.32</v>
      </c>
      <c r="F6" s="191">
        <f t="shared" ref="F6:F37" si="1">(Vout+Vfwd1)*Nps/((Vout+Vfwd1)*Nps+D6)</f>
        <v>0.54096045197740117</v>
      </c>
      <c r="G6" s="152">
        <f t="shared" ref="G6:G37" si="2">F6*D6*Isw_max*0.5*Efficiency</f>
        <v>2.3734639830508479</v>
      </c>
      <c r="H6" s="191">
        <f t="shared" ref="H6:H37" si="3">G6/Vout</f>
        <v>0.15823093220338985</v>
      </c>
      <c r="I6" s="386">
        <f t="shared" ref="I6:I37" si="4">(Vout+Vfwd1)*Nps+D6</f>
        <v>28.32</v>
      </c>
      <c r="J6" s="152">
        <f t="shared" ref="J6:J37" si="5">MIN(2*Vout*Iout/(Efficiency*D6*F6), 1.35)</f>
        <v>0.47399076119702743</v>
      </c>
      <c r="K6" s="152">
        <f t="shared" ref="K6:K37" si="6">L*J6/D6*1000000</f>
        <v>1.713658905866176</v>
      </c>
      <c r="L6" s="152">
        <f t="shared" ref="L6:L37" si="7">L*J6/((Vout+Vfwd1)*Nps)*1000000</f>
        <v>1.4541492021057627</v>
      </c>
      <c r="M6" s="386">
        <f>MIN(1/(K6+L6)*1000, 350)</f>
        <v>315.67568675749413</v>
      </c>
      <c r="N6" s="175">
        <f t="shared" ref="N6:N37" si="8">IF(1/((350000*L)*(1/D6+1/E6))&gt;Isw_min, 350, 0.001/((Isw_min*L)*(1/D6+1/E6)))</f>
        <v>350</v>
      </c>
      <c r="O6" s="191">
        <f t="shared" ref="O6:O37" si="9">1/((N6*1000*L)*(1/D6+1/E6))</f>
        <v>0.42750674016451157</v>
      </c>
      <c r="P6" s="153">
        <f t="shared" ref="P6:P37" si="10">L*O6/E6*1000000</f>
        <v>1.3115415657788541</v>
      </c>
      <c r="Q6" s="153">
        <f t="shared" ref="Q6:Q37" si="11">0.5*P6*O6*Nps*N6/1000</f>
        <v>9.8121250390866027E-2</v>
      </c>
      <c r="R6" s="153">
        <f t="shared" ref="R6:R37" si="12">L*Isw_min/E6*1000000</f>
        <v>0.46018276762402083</v>
      </c>
    </row>
    <row r="7" spans="3:19" x14ac:dyDescent="0.25">
      <c r="C7" s="150">
        <v>1</v>
      </c>
      <c r="D7" s="5">
        <f t="shared" ref="D7:D38" si="13">C7/100*(VIN_max-VIN_min)+VIN_min</f>
        <v>13.13</v>
      </c>
      <c r="E7" s="386">
        <f t="shared" si="0"/>
        <v>15.32</v>
      </c>
      <c r="F7" s="191">
        <f t="shared" si="1"/>
        <v>0.5384885764499121</v>
      </c>
      <c r="G7" s="152">
        <f t="shared" si="2"/>
        <v>2.3862448154657296</v>
      </c>
      <c r="H7" s="191">
        <f t="shared" si="3"/>
        <v>0.15908298769771531</v>
      </c>
      <c r="I7" s="386">
        <f t="shared" si="4"/>
        <v>28.450000000000003</v>
      </c>
      <c r="J7" s="152">
        <f t="shared" si="5"/>
        <v>0.47145204578702499</v>
      </c>
      <c r="K7" s="152">
        <f t="shared" si="6"/>
        <v>1.6876044289406071</v>
      </c>
      <c r="L7" s="152">
        <f t="shared" si="7"/>
        <v>1.4463607148818651</v>
      </c>
      <c r="M7" s="386">
        <f t="shared" ref="M7:M70" si="14">MIN(1/(K7+L7)*1000, 350)</f>
        <v>319.08459542734676</v>
      </c>
      <c r="N7" s="175">
        <f t="shared" si="8"/>
        <v>350</v>
      </c>
      <c r="O7" s="191">
        <f t="shared" si="9"/>
        <v>0.42980881512385094</v>
      </c>
      <c r="P7" s="153">
        <f t="shared" si="10"/>
        <v>1.3186040672859656</v>
      </c>
      <c r="Q7" s="153">
        <f t="shared" si="11"/>
        <v>9.9180839061092513E-2</v>
      </c>
      <c r="R7" s="153">
        <f t="shared" si="12"/>
        <v>0.46018276762402083</v>
      </c>
    </row>
    <row r="8" spans="3:19" x14ac:dyDescent="0.25">
      <c r="C8" s="150">
        <v>2</v>
      </c>
      <c r="D8" s="5">
        <f t="shared" si="13"/>
        <v>13.26</v>
      </c>
      <c r="E8" s="386">
        <f t="shared" si="0"/>
        <v>15.32</v>
      </c>
      <c r="F8" s="191">
        <f t="shared" si="1"/>
        <v>0.53603918824352703</v>
      </c>
      <c r="G8" s="152">
        <f t="shared" si="2"/>
        <v>2.3989093771868446</v>
      </c>
      <c r="H8" s="191">
        <f t="shared" si="3"/>
        <v>0.1599272918124563</v>
      </c>
      <c r="I8" s="386">
        <f t="shared" si="4"/>
        <v>28.58</v>
      </c>
      <c r="J8" s="152">
        <f t="shared" si="5"/>
        <v>0.46896310911055183</v>
      </c>
      <c r="K8" s="152">
        <f t="shared" si="6"/>
        <v>1.6622372645698291</v>
      </c>
      <c r="L8" s="152">
        <f t="shared" si="7"/>
        <v>1.4387249430937292</v>
      </c>
      <c r="M8" s="386">
        <f t="shared" si="14"/>
        <v>322.48055056222597</v>
      </c>
      <c r="N8" s="175">
        <f t="shared" si="8"/>
        <v>350</v>
      </c>
      <c r="O8" s="191">
        <f t="shared" si="9"/>
        <v>0.43208994748384</v>
      </c>
      <c r="P8" s="153">
        <f t="shared" si="10"/>
        <v>1.3256023193042086</v>
      </c>
      <c r="Q8" s="153">
        <f t="shared" si="11"/>
        <v>0.10023640139320711</v>
      </c>
      <c r="R8" s="153">
        <f t="shared" si="12"/>
        <v>0.46018276762402083</v>
      </c>
    </row>
    <row r="9" spans="3:19" x14ac:dyDescent="0.25">
      <c r="C9" s="150">
        <v>3</v>
      </c>
      <c r="D9" s="5">
        <f t="shared" si="13"/>
        <v>13.39</v>
      </c>
      <c r="E9" s="386">
        <f t="shared" si="0"/>
        <v>15.32</v>
      </c>
      <c r="F9" s="191">
        <f t="shared" si="1"/>
        <v>0.53361198188784398</v>
      </c>
      <c r="G9" s="152">
        <f t="shared" si="2"/>
        <v>2.411459247648903</v>
      </c>
      <c r="H9" s="191">
        <f t="shared" si="3"/>
        <v>0.1607639498432602</v>
      </c>
      <c r="I9" s="386">
        <f t="shared" si="4"/>
        <v>28.71</v>
      </c>
      <c r="J9" s="152">
        <f t="shared" si="5"/>
        <v>0.46652250130158313</v>
      </c>
      <c r="K9" s="152">
        <f t="shared" si="6"/>
        <v>1.6375323047927113</v>
      </c>
      <c r="L9" s="152">
        <f t="shared" si="7"/>
        <v>1.4312374387189559</v>
      </c>
      <c r="M9" s="386">
        <f t="shared" si="14"/>
        <v>325.86348393010292</v>
      </c>
      <c r="N9" s="175">
        <f t="shared" si="8"/>
        <v>350</v>
      </c>
      <c r="O9" s="191">
        <f t="shared" si="9"/>
        <v>0.43435042173119942</v>
      </c>
      <c r="P9" s="153">
        <f t="shared" si="10"/>
        <v>1.3325371946061602</v>
      </c>
      <c r="Q9" s="153">
        <f t="shared" si="11"/>
        <v>0.10128791617869662</v>
      </c>
      <c r="R9" s="153">
        <f t="shared" si="12"/>
        <v>0.46018276762402083</v>
      </c>
    </row>
    <row r="10" spans="3:19" x14ac:dyDescent="0.25">
      <c r="C10" s="150">
        <v>4</v>
      </c>
      <c r="D10" s="5">
        <f t="shared" si="13"/>
        <v>13.52</v>
      </c>
      <c r="E10" s="386">
        <f t="shared" si="0"/>
        <v>15.32</v>
      </c>
      <c r="F10" s="191">
        <f t="shared" si="1"/>
        <v>0.53120665742024964</v>
      </c>
      <c r="G10" s="152">
        <f t="shared" si="2"/>
        <v>2.4238959778085989</v>
      </c>
      <c r="H10" s="191">
        <f t="shared" si="3"/>
        <v>0.16159306518723993</v>
      </c>
      <c r="I10" s="386">
        <f t="shared" si="4"/>
        <v>28.84</v>
      </c>
      <c r="J10" s="152">
        <f t="shared" si="5"/>
        <v>0.46412882825817153</v>
      </c>
      <c r="K10" s="152">
        <f t="shared" si="6"/>
        <v>1.6134656011933477</v>
      </c>
      <c r="L10" s="152">
        <f t="shared" si="7"/>
        <v>1.4238939248129283</v>
      </c>
      <c r="M10" s="386">
        <f t="shared" si="14"/>
        <v>329.23333291230983</v>
      </c>
      <c r="N10" s="175">
        <f t="shared" si="8"/>
        <v>350</v>
      </c>
      <c r="O10" s="191">
        <f t="shared" si="9"/>
        <v>0.4365905172232083</v>
      </c>
      <c r="P10" s="153">
        <f t="shared" si="10"/>
        <v>1.3394095502278585</v>
      </c>
      <c r="Q10" s="153">
        <f t="shared" si="11"/>
        <v>0.10233536395384496</v>
      </c>
      <c r="R10" s="153">
        <f t="shared" si="12"/>
        <v>0.46018276762402083</v>
      </c>
    </row>
    <row r="11" spans="3:19" x14ac:dyDescent="0.25">
      <c r="C11" s="150">
        <v>5</v>
      </c>
      <c r="D11" s="5">
        <f t="shared" si="13"/>
        <v>13.65</v>
      </c>
      <c r="E11" s="386">
        <f t="shared" si="0"/>
        <v>15.32</v>
      </c>
      <c r="F11" s="191">
        <f t="shared" si="1"/>
        <v>0.52882292026234035</v>
      </c>
      <c r="G11" s="152">
        <f t="shared" si="2"/>
        <v>2.4362210907835693</v>
      </c>
      <c r="H11" s="191">
        <f t="shared" si="3"/>
        <v>0.1624147393855713</v>
      </c>
      <c r="I11" s="386">
        <f t="shared" si="4"/>
        <v>28.97</v>
      </c>
      <c r="J11" s="152">
        <f t="shared" si="5"/>
        <v>0.46178074898701532</v>
      </c>
      <c r="K11" s="152">
        <f t="shared" si="6"/>
        <v>1.5900143005413714</v>
      </c>
      <c r="L11" s="152">
        <f t="shared" si="7"/>
        <v>1.4166902873622533</v>
      </c>
      <c r="M11" s="386">
        <f t="shared" si="14"/>
        <v>332.59004027969161</v>
      </c>
      <c r="N11" s="175">
        <f t="shared" si="8"/>
        <v>350</v>
      </c>
      <c r="O11" s="191">
        <f t="shared" si="9"/>
        <v>0.43881050830279306</v>
      </c>
      <c r="P11" s="153">
        <f t="shared" si="10"/>
        <v>1.3462202278218847</v>
      </c>
      <c r="Q11" s="153">
        <f t="shared" si="11"/>
        <v>0.10337872693015403</v>
      </c>
      <c r="R11" s="153">
        <f t="shared" si="12"/>
        <v>0.46018276762402083</v>
      </c>
    </row>
    <row r="12" spans="3:19" x14ac:dyDescent="0.25">
      <c r="C12" s="150">
        <v>6</v>
      </c>
      <c r="D12" s="5">
        <f t="shared" si="13"/>
        <v>13.78</v>
      </c>
      <c r="E12" s="386">
        <f t="shared" si="0"/>
        <v>15.32</v>
      </c>
      <c r="F12" s="191">
        <f t="shared" si="1"/>
        <v>0.52646048109965637</v>
      </c>
      <c r="G12" s="152">
        <f t="shared" si="2"/>
        <v>2.4484360824742271</v>
      </c>
      <c r="H12" s="191">
        <f t="shared" si="3"/>
        <v>0.16322907216494847</v>
      </c>
      <c r="I12" s="386">
        <f t="shared" si="4"/>
        <v>29.1</v>
      </c>
      <c r="J12" s="152">
        <f t="shared" si="5"/>
        <v>0.4594769730983338</v>
      </c>
      <c r="K12" s="152">
        <f t="shared" si="6"/>
        <v>1.5671565845879309</v>
      </c>
      <c r="L12" s="152">
        <f t="shared" si="7"/>
        <v>1.4096225675993268</v>
      </c>
      <c r="M12" s="386">
        <f t="shared" si="14"/>
        <v>335.93355397736735</v>
      </c>
      <c r="N12" s="175">
        <f t="shared" si="8"/>
        <v>350</v>
      </c>
      <c r="O12" s="191">
        <f t="shared" si="9"/>
        <v>0.44101066441053283</v>
      </c>
      <c r="P12" s="153">
        <f t="shared" si="10"/>
        <v>1.3529700540009817</v>
      </c>
      <c r="Q12" s="153">
        <f t="shared" si="11"/>
        <v>0.10441798892744229</v>
      </c>
      <c r="R12" s="153">
        <f t="shared" si="12"/>
        <v>0.46018276762402083</v>
      </c>
    </row>
    <row r="13" spans="3:19" x14ac:dyDescent="0.25">
      <c r="C13" s="150">
        <v>7</v>
      </c>
      <c r="D13" s="5">
        <f t="shared" si="13"/>
        <v>13.91</v>
      </c>
      <c r="E13" s="386">
        <f t="shared" si="0"/>
        <v>15.32</v>
      </c>
      <c r="F13" s="191">
        <f t="shared" si="1"/>
        <v>0.52411905576462536</v>
      </c>
      <c r="G13" s="152">
        <f t="shared" si="2"/>
        <v>2.4605424221690044</v>
      </c>
      <c r="H13" s="191">
        <f t="shared" si="3"/>
        <v>0.16403616147793362</v>
      </c>
      <c r="I13" s="386">
        <f t="shared" si="4"/>
        <v>29.23</v>
      </c>
      <c r="J13" s="152">
        <f t="shared" si="5"/>
        <v>0.45721625844121633</v>
      </c>
      <c r="K13" s="152">
        <f t="shared" si="6"/>
        <v>1.5448716137122331</v>
      </c>
      <c r="L13" s="152">
        <f t="shared" si="7"/>
        <v>1.4026869547478567</v>
      </c>
      <c r="M13" s="386">
        <f t="shared" si="14"/>
        <v>339.26382691775854</v>
      </c>
      <c r="N13" s="175">
        <f t="shared" si="8"/>
        <v>350</v>
      </c>
      <c r="O13" s="191">
        <f t="shared" si="9"/>
        <v>0.44319125019367422</v>
      </c>
      <c r="P13" s="153">
        <f t="shared" si="10"/>
        <v>1.3596598406724991</v>
      </c>
      <c r="Q13" s="153">
        <f t="shared" si="11"/>
        <v>0.10545313530951093</v>
      </c>
      <c r="R13" s="153">
        <f t="shared" si="12"/>
        <v>0.46018276762402083</v>
      </c>
    </row>
    <row r="14" spans="3:19" s="59" customFormat="1" x14ac:dyDescent="0.25">
      <c r="C14" s="150">
        <v>8</v>
      </c>
      <c r="D14" s="170">
        <f t="shared" si="13"/>
        <v>14.04</v>
      </c>
      <c r="E14" s="386">
        <f t="shared" si="0"/>
        <v>15.32</v>
      </c>
      <c r="F14" s="191">
        <f t="shared" si="1"/>
        <v>0.52179836512261579</v>
      </c>
      <c r="G14" s="152">
        <f t="shared" si="2"/>
        <v>2.4725415531335151</v>
      </c>
      <c r="H14" s="191">
        <f t="shared" si="3"/>
        <v>0.16483610354223435</v>
      </c>
      <c r="I14" s="386">
        <f t="shared" si="4"/>
        <v>29.36</v>
      </c>
      <c r="J14" s="152">
        <f t="shared" si="5"/>
        <v>0.4549974088703419</v>
      </c>
      <c r="K14" s="152">
        <f t="shared" si="6"/>
        <v>1.5231394741386091</v>
      </c>
      <c r="L14" s="152">
        <f t="shared" si="7"/>
        <v>1.3958797791714144</v>
      </c>
      <c r="M14" s="386">
        <f t="shared" si="14"/>
        <v>342.58081678154383</v>
      </c>
      <c r="N14" s="175">
        <f t="shared" si="8"/>
        <v>350</v>
      </c>
      <c r="O14" s="191">
        <f t="shared" si="9"/>
        <v>0.44535252561225092</v>
      </c>
      <c r="P14" s="153">
        <f t="shared" si="10"/>
        <v>1.3662903853639552</v>
      </c>
      <c r="Q14" s="469">
        <f t="shared" si="11"/>
        <v>0.10648415292227527</v>
      </c>
      <c r="R14" s="153">
        <f t="shared" si="12"/>
        <v>0.46018276762402083</v>
      </c>
    </row>
    <row r="15" spans="3:19" x14ac:dyDescent="0.25">
      <c r="C15" s="150">
        <v>9</v>
      </c>
      <c r="D15" s="5">
        <f t="shared" si="13"/>
        <v>14.17</v>
      </c>
      <c r="E15" s="386">
        <f t="shared" si="0"/>
        <v>15.32</v>
      </c>
      <c r="F15" s="191">
        <f t="shared" si="1"/>
        <v>0.51949813496100372</v>
      </c>
      <c r="G15" s="152">
        <f t="shared" si="2"/>
        <v>2.48443489318413</v>
      </c>
      <c r="H15" s="191">
        <f t="shared" si="3"/>
        <v>0.16562899287894201</v>
      </c>
      <c r="I15" s="386">
        <f t="shared" si="4"/>
        <v>29.490000000000002</v>
      </c>
      <c r="J15" s="152">
        <f t="shared" si="5"/>
        <v>0.45281927213563017</v>
      </c>
      <c r="K15" s="152">
        <f t="shared" si="6"/>
        <v>1.5019411284668043</v>
      </c>
      <c r="L15" s="152">
        <f t="shared" si="7"/>
        <v>1.3891975058991264</v>
      </c>
      <c r="M15" s="386">
        <f t="shared" si="14"/>
        <v>345.88448582622698</v>
      </c>
      <c r="N15" s="175">
        <f t="shared" si="8"/>
        <v>350</v>
      </c>
      <c r="O15" s="191">
        <f t="shared" si="9"/>
        <v>0.44749474604239653</v>
      </c>
      <c r="P15" s="153">
        <f t="shared" si="10"/>
        <v>1.3728624715399891</v>
      </c>
      <c r="Q15" s="153">
        <f t="shared" si="11"/>
        <v>0.10751103003426174</v>
      </c>
      <c r="R15" s="153">
        <f t="shared" si="12"/>
        <v>0.46018276762402083</v>
      </c>
    </row>
    <row r="16" spans="3:19" x14ac:dyDescent="0.25">
      <c r="C16" s="150">
        <v>10</v>
      </c>
      <c r="D16" s="5">
        <f t="shared" si="13"/>
        <v>14.3</v>
      </c>
      <c r="E16" s="386">
        <f t="shared" si="0"/>
        <v>15.32</v>
      </c>
      <c r="F16" s="191">
        <f t="shared" si="1"/>
        <v>0.51721809588116141</v>
      </c>
      <c r="G16" s="152">
        <f t="shared" si="2"/>
        <v>2.4962238352464556</v>
      </c>
      <c r="H16" s="191">
        <f t="shared" si="3"/>
        <v>0.16641492234976371</v>
      </c>
      <c r="I16" s="386">
        <f t="shared" si="4"/>
        <v>29.62</v>
      </c>
      <c r="J16" s="152">
        <f t="shared" si="5"/>
        <v>0.45068073788700413</v>
      </c>
      <c r="K16" s="152">
        <f t="shared" si="6"/>
        <v>1.4812583692789645</v>
      </c>
      <c r="L16" s="152">
        <f t="shared" si="7"/>
        <v>1.3826367285045165</v>
      </c>
      <c r="M16" s="386">
        <f t="shared" si="14"/>
        <v>349.17480070200634</v>
      </c>
      <c r="N16" s="175">
        <f t="shared" si="8"/>
        <v>350</v>
      </c>
      <c r="O16" s="191">
        <f t="shared" si="9"/>
        <v>0.44961816237693675</v>
      </c>
      <c r="P16" s="153">
        <f t="shared" si="10"/>
        <v>1.3793768689109676</v>
      </c>
      <c r="Q16" s="153">
        <f t="shared" si="11"/>
        <v>0.10853375627937535</v>
      </c>
      <c r="R16" s="153">
        <f t="shared" si="12"/>
        <v>0.46018276762402083</v>
      </c>
    </row>
    <row r="17" spans="3:18" x14ac:dyDescent="0.25">
      <c r="C17" s="150">
        <v>11</v>
      </c>
      <c r="D17" s="5">
        <f t="shared" si="13"/>
        <v>14.43</v>
      </c>
      <c r="E17" s="386">
        <f t="shared" si="0"/>
        <v>15.32</v>
      </c>
      <c r="F17" s="191">
        <f t="shared" si="1"/>
        <v>0.51495798319327735</v>
      </c>
      <c r="G17" s="152">
        <f t="shared" si="2"/>
        <v>2.5079097478991601</v>
      </c>
      <c r="H17" s="191">
        <f t="shared" si="3"/>
        <v>0.16719398319327733</v>
      </c>
      <c r="I17" s="386">
        <f t="shared" si="4"/>
        <v>29.75</v>
      </c>
      <c r="J17" s="152">
        <f t="shared" si="5"/>
        <v>0.44858073578700208</v>
      </c>
      <c r="K17" s="152">
        <f t="shared" si="6"/>
        <v>1.46107377560562</v>
      </c>
      <c r="L17" s="152">
        <f t="shared" si="7"/>
        <v>1.3761941633152153</v>
      </c>
      <c r="M17" s="386">
        <f t="shared" si="14"/>
        <v>350</v>
      </c>
      <c r="N17" s="175">
        <f t="shared" si="8"/>
        <v>350</v>
      </c>
      <c r="O17" s="191">
        <f t="shared" si="9"/>
        <v>0.451723021123343</v>
      </c>
      <c r="P17" s="153">
        <f t="shared" si="10"/>
        <v>1.3858343337334935</v>
      </c>
      <c r="Q17" s="153">
        <f t="shared" si="11"/>
        <v>0.10955232260184605</v>
      </c>
      <c r="R17" s="153">
        <f t="shared" si="12"/>
        <v>0.46018276762402083</v>
      </c>
    </row>
    <row r="18" spans="3:18" x14ac:dyDescent="0.25">
      <c r="C18" s="150">
        <v>12</v>
      </c>
      <c r="D18" s="5">
        <f t="shared" si="13"/>
        <v>14.56</v>
      </c>
      <c r="E18" s="386">
        <f t="shared" si="0"/>
        <v>15.32</v>
      </c>
      <c r="F18" s="191">
        <f t="shared" si="1"/>
        <v>0.51271753681392229</v>
      </c>
      <c r="G18" s="152">
        <f t="shared" si="2"/>
        <v>2.5194939759036146</v>
      </c>
      <c r="H18" s="191">
        <f t="shared" si="3"/>
        <v>0.16796626506024098</v>
      </c>
      <c r="I18" s="386">
        <f t="shared" si="4"/>
        <v>29.880000000000003</v>
      </c>
      <c r="J18" s="152">
        <f t="shared" si="5"/>
        <v>0.44651823372450006</v>
      </c>
      <c r="K18" s="152">
        <f t="shared" si="6"/>
        <v>1.4413706720502402</v>
      </c>
      <c r="L18" s="152">
        <f t="shared" si="7"/>
        <v>1.3698666439328655</v>
      </c>
      <c r="M18" s="386">
        <f t="shared" si="14"/>
        <v>350</v>
      </c>
      <c r="N18" s="175">
        <f t="shared" si="8"/>
        <v>350</v>
      </c>
      <c r="O18" s="191">
        <f t="shared" si="9"/>
        <v>0.45380956449913135</v>
      </c>
      <c r="P18" s="153">
        <f t="shared" si="10"/>
        <v>1.3922356091030792</v>
      </c>
      <c r="Q18" s="153">
        <f t="shared" si="11"/>
        <v>0.11056672120326896</v>
      </c>
      <c r="R18" s="153">
        <f t="shared" si="12"/>
        <v>0.46018276762402083</v>
      </c>
    </row>
    <row r="19" spans="3:18" x14ac:dyDescent="0.25">
      <c r="C19" s="150">
        <v>13</v>
      </c>
      <c r="D19" s="5">
        <f t="shared" si="13"/>
        <v>14.69</v>
      </c>
      <c r="E19" s="386">
        <f t="shared" si="0"/>
        <v>15.32</v>
      </c>
      <c r="F19" s="191">
        <f t="shared" si="1"/>
        <v>0.51049650116627798</v>
      </c>
      <c r="G19" s="152">
        <f t="shared" si="2"/>
        <v>2.5309778407197605</v>
      </c>
      <c r="H19" s="191">
        <f t="shared" si="3"/>
        <v>0.16873185604798405</v>
      </c>
      <c r="I19" s="386">
        <f t="shared" si="4"/>
        <v>30.009999999999998</v>
      </c>
      <c r="J19" s="152">
        <f t="shared" si="5"/>
        <v>0.44449223612328109</v>
      </c>
      <c r="K19" s="152">
        <f t="shared" si="6"/>
        <v>1.4221330903876248</v>
      </c>
      <c r="L19" s="152">
        <f t="shared" si="7"/>
        <v>1.3636511160440083</v>
      </c>
      <c r="M19" s="386">
        <f t="shared" si="14"/>
        <v>350</v>
      </c>
      <c r="N19" s="175">
        <f t="shared" si="8"/>
        <v>350</v>
      </c>
      <c r="O19" s="191">
        <f t="shared" si="9"/>
        <v>0.4558780305247796</v>
      </c>
      <c r="P19" s="153">
        <f t="shared" si="10"/>
        <v>1.3985814252392061</v>
      </c>
      <c r="Q19" s="153">
        <f t="shared" si="11"/>
        <v>0.11157694549165299</v>
      </c>
      <c r="R19" s="153">
        <f t="shared" si="12"/>
        <v>0.46018276762402083</v>
      </c>
    </row>
    <row r="20" spans="3:18" x14ac:dyDescent="0.25">
      <c r="C20" s="150">
        <v>14</v>
      </c>
      <c r="D20" s="5">
        <f t="shared" si="13"/>
        <v>14.82</v>
      </c>
      <c r="E20" s="386">
        <f t="shared" si="0"/>
        <v>15.32</v>
      </c>
      <c r="F20" s="191">
        <f t="shared" si="1"/>
        <v>0.50829462508294621</v>
      </c>
      <c r="G20" s="152">
        <f t="shared" si="2"/>
        <v>2.5423626410086264</v>
      </c>
      <c r="H20" s="191">
        <f t="shared" si="3"/>
        <v>0.16949084273390844</v>
      </c>
      <c r="I20" s="386">
        <f t="shared" si="4"/>
        <v>30.14</v>
      </c>
      <c r="J20" s="152">
        <f t="shared" si="5"/>
        <v>0.44250178233962761</v>
      </c>
      <c r="K20" s="152">
        <f t="shared" si="6"/>
        <v>1.4033457334657555</v>
      </c>
      <c r="L20" s="152">
        <f t="shared" si="7"/>
        <v>1.3575446325040792</v>
      </c>
      <c r="M20" s="386">
        <f t="shared" si="14"/>
        <v>350</v>
      </c>
      <c r="N20" s="175">
        <f t="shared" si="8"/>
        <v>350</v>
      </c>
      <c r="O20" s="191">
        <f t="shared" si="9"/>
        <v>0.45792865311424097</v>
      </c>
      <c r="P20" s="153">
        <f t="shared" si="10"/>
        <v>1.4048724997630109</v>
      </c>
      <c r="Q20" s="153">
        <f t="shared" si="11"/>
        <v>0.11258299003239966</v>
      </c>
      <c r="R20" s="153">
        <f t="shared" si="12"/>
        <v>0.46018276762402083</v>
      </c>
    </row>
    <row r="21" spans="3:18" x14ac:dyDescent="0.25">
      <c r="C21" s="150">
        <v>15</v>
      </c>
      <c r="D21" s="5">
        <f t="shared" si="13"/>
        <v>14.95</v>
      </c>
      <c r="E21" s="386">
        <f t="shared" si="0"/>
        <v>15.32</v>
      </c>
      <c r="F21" s="191">
        <f t="shared" si="1"/>
        <v>0.50611166171126531</v>
      </c>
      <c r="G21" s="152">
        <f t="shared" si="2"/>
        <v>2.5536496531219033</v>
      </c>
      <c r="H21" s="191">
        <f t="shared" si="3"/>
        <v>0.17024331020812689</v>
      </c>
      <c r="I21" s="386">
        <f t="shared" si="4"/>
        <v>30.27</v>
      </c>
      <c r="J21" s="152">
        <f t="shared" si="5"/>
        <v>0.4405459451435158</v>
      </c>
      <c r="K21" s="152">
        <f t="shared" si="6"/>
        <v>1.3849939412538623</v>
      </c>
      <c r="L21" s="152">
        <f t="shared" si="7"/>
        <v>1.3515443486778878</v>
      </c>
      <c r="M21" s="386">
        <f t="shared" si="14"/>
        <v>350</v>
      </c>
      <c r="N21" s="175">
        <f t="shared" si="8"/>
        <v>350</v>
      </c>
      <c r="O21" s="191">
        <f t="shared" si="9"/>
        <v>0.45996166216312562</v>
      </c>
      <c r="P21" s="153">
        <f t="shared" si="10"/>
        <v>1.4111095379678134</v>
      </c>
      <c r="Q21" s="153">
        <f t="shared" si="11"/>
        <v>0.11358485050113523</v>
      </c>
      <c r="R21" s="153">
        <f t="shared" si="12"/>
        <v>0.46018276762402083</v>
      </c>
    </row>
    <row r="22" spans="3:18" s="3" customFormat="1" x14ac:dyDescent="0.25">
      <c r="C22" s="238">
        <v>16</v>
      </c>
      <c r="D22" s="465">
        <f t="shared" si="13"/>
        <v>15.08</v>
      </c>
      <c r="E22" s="466">
        <f t="shared" si="0"/>
        <v>15.32</v>
      </c>
      <c r="F22" s="467">
        <f t="shared" si="1"/>
        <v>0.5039473684210527</v>
      </c>
      <c r="G22" s="289">
        <f t="shared" si="2"/>
        <v>2.5648401315789475</v>
      </c>
      <c r="H22" s="467">
        <f t="shared" si="3"/>
        <v>0.17098934210526318</v>
      </c>
      <c r="I22" s="466">
        <f t="shared" si="4"/>
        <v>30.4</v>
      </c>
      <c r="J22" s="152">
        <f t="shared" si="5"/>
        <v>0.43862382927837135</v>
      </c>
      <c r="K22" s="289">
        <f t="shared" si="6"/>
        <v>1.3670636588914755</v>
      </c>
      <c r="L22" s="289">
        <f t="shared" si="7"/>
        <v>1.3456475180211129</v>
      </c>
      <c r="M22" s="466">
        <f t="shared" si="14"/>
        <v>350</v>
      </c>
      <c r="N22" s="291">
        <f t="shared" si="8"/>
        <v>350</v>
      </c>
      <c r="O22" s="467">
        <f t="shared" si="9"/>
        <v>0.46197728363461843</v>
      </c>
      <c r="P22" s="153">
        <f t="shared" si="10"/>
        <v>1.4172932330827066</v>
      </c>
      <c r="Q22" s="470">
        <f t="shared" si="11"/>
        <v>0.11458252363832309</v>
      </c>
      <c r="R22" s="153">
        <f t="shared" si="12"/>
        <v>0.46018276762402083</v>
      </c>
    </row>
    <row r="23" spans="3:18" x14ac:dyDescent="0.25">
      <c r="C23" s="150">
        <v>17</v>
      </c>
      <c r="D23" s="5">
        <f t="shared" si="13"/>
        <v>15.21</v>
      </c>
      <c r="E23" s="386">
        <f t="shared" si="0"/>
        <v>15.32</v>
      </c>
      <c r="F23" s="191">
        <f t="shared" si="1"/>
        <v>0.5018015067147068</v>
      </c>
      <c r="G23" s="152">
        <f t="shared" si="2"/>
        <v>2.5759353095316082</v>
      </c>
      <c r="H23" s="191">
        <f t="shared" si="3"/>
        <v>0.17172902063544054</v>
      </c>
      <c r="I23" s="386">
        <f t="shared" si="4"/>
        <v>30.53</v>
      </c>
      <c r="J23" s="152">
        <f t="shared" si="5"/>
        <v>0.43673457009468258</v>
      </c>
      <c r="K23" s="152">
        <f t="shared" si="6"/>
        <v>1.3495414066042131</v>
      </c>
      <c r="L23" s="152">
        <f t="shared" si="7"/>
        <v>1.3398514878883863</v>
      </c>
      <c r="M23" s="386">
        <f t="shared" si="14"/>
        <v>350</v>
      </c>
      <c r="N23" s="175">
        <f t="shared" si="8"/>
        <v>350</v>
      </c>
      <c r="O23" s="191">
        <f t="shared" si="9"/>
        <v>0.46397573964320321</v>
      </c>
      <c r="P23" s="153">
        <f t="shared" si="10"/>
        <v>1.4234242665294092</v>
      </c>
      <c r="Q23" s="153">
        <f t="shared" si="11"/>
        <v>0.11557600720558667</v>
      </c>
      <c r="R23" s="153">
        <f t="shared" si="12"/>
        <v>0.46018276762402083</v>
      </c>
    </row>
    <row r="24" spans="3:18" x14ac:dyDescent="0.25">
      <c r="C24" s="150">
        <v>18</v>
      </c>
      <c r="D24" s="5">
        <f t="shared" si="13"/>
        <v>15.34</v>
      </c>
      <c r="E24" s="386">
        <f t="shared" si="0"/>
        <v>15.32</v>
      </c>
      <c r="F24" s="191">
        <f t="shared" si="1"/>
        <v>0.49967384213959559</v>
      </c>
      <c r="G24" s="152">
        <f t="shared" si="2"/>
        <v>2.5869363992172212</v>
      </c>
      <c r="H24" s="191">
        <f t="shared" si="3"/>
        <v>0.17246242661448141</v>
      </c>
      <c r="I24" s="386">
        <f t="shared" si="4"/>
        <v>30.66</v>
      </c>
      <c r="J24" s="152">
        <f t="shared" si="5"/>
        <v>0.43487733225309005</v>
      </c>
      <c r="K24" s="152">
        <f t="shared" si="6"/>
        <v>1.3324142513621404</v>
      </c>
      <c r="L24" s="152">
        <f t="shared" si="7"/>
        <v>1.3341536955545192</v>
      </c>
      <c r="M24" s="386">
        <f t="shared" si="14"/>
        <v>350</v>
      </c>
      <c r="N24" s="175">
        <f t="shared" si="8"/>
        <v>350</v>
      </c>
      <c r="O24" s="191">
        <f t="shared" si="9"/>
        <v>0.46595724853625514</v>
      </c>
      <c r="P24" s="153">
        <f t="shared" si="10"/>
        <v>1.4295033081725843</v>
      </c>
      <c r="Q24" s="153">
        <f t="shared" si="11"/>
        <v>0.11656529994367505</v>
      </c>
      <c r="R24" s="153">
        <f t="shared" si="12"/>
        <v>0.46018276762402083</v>
      </c>
    </row>
    <row r="25" spans="3:18" x14ac:dyDescent="0.25">
      <c r="C25" s="150">
        <v>19</v>
      </c>
      <c r="D25" s="5">
        <f t="shared" si="13"/>
        <v>15.47</v>
      </c>
      <c r="E25" s="386">
        <f t="shared" si="0"/>
        <v>15.32</v>
      </c>
      <c r="F25" s="191">
        <f t="shared" si="1"/>
        <v>0.49756414420266321</v>
      </c>
      <c r="G25" s="152">
        <f t="shared" si="2"/>
        <v>2.5978445924001301</v>
      </c>
      <c r="H25" s="191">
        <f t="shared" si="3"/>
        <v>0.17318963949334201</v>
      </c>
      <c r="I25" s="386">
        <f t="shared" si="4"/>
        <v>30.79</v>
      </c>
      <c r="J25" s="152">
        <f t="shared" si="5"/>
        <v>0.43305130849286894</v>
      </c>
      <c r="K25" s="152">
        <f t="shared" si="6"/>
        <v>1.3156697801657942</v>
      </c>
      <c r="L25" s="152">
        <f t="shared" si="7"/>
        <v>1.3285516644363471</v>
      </c>
      <c r="M25" s="386">
        <f t="shared" si="14"/>
        <v>350</v>
      </c>
      <c r="N25" s="175">
        <f t="shared" si="8"/>
        <v>350</v>
      </c>
      <c r="O25" s="191">
        <f t="shared" si="9"/>
        <v>0.46792202497356844</v>
      </c>
      <c r="P25" s="153">
        <f t="shared" si="10"/>
        <v>1.4355310165638195</v>
      </c>
      <c r="Q25" s="153">
        <f t="shared" si="11"/>
        <v>0.11755040153200885</v>
      </c>
      <c r="R25" s="153">
        <f t="shared" si="12"/>
        <v>0.46018276762402083</v>
      </c>
    </row>
    <row r="26" spans="3:18" x14ac:dyDescent="0.25">
      <c r="C26" s="150">
        <v>20</v>
      </c>
      <c r="D26" s="5">
        <f t="shared" si="13"/>
        <v>15.6</v>
      </c>
      <c r="E26" s="386">
        <f t="shared" si="0"/>
        <v>15.32</v>
      </c>
      <c r="F26" s="191">
        <f t="shared" si="1"/>
        <v>0.49547218628719275</v>
      </c>
      <c r="G26" s="152">
        <f t="shared" si="2"/>
        <v>2.6086610608020697</v>
      </c>
      <c r="H26" s="191">
        <f t="shared" si="3"/>
        <v>0.17391073738680465</v>
      </c>
      <c r="I26" s="386">
        <f t="shared" si="4"/>
        <v>30.92</v>
      </c>
      <c r="J26" s="152">
        <f t="shared" si="5"/>
        <v>0.43125571846198479</v>
      </c>
      <c r="K26" s="152">
        <f t="shared" si="6"/>
        <v>1.2992960748534157</v>
      </c>
      <c r="L26" s="152">
        <f t="shared" si="7"/>
        <v>1.3230430005034781</v>
      </c>
      <c r="M26" s="386">
        <f t="shared" si="14"/>
        <v>350</v>
      </c>
      <c r="N26" s="175">
        <f t="shared" si="8"/>
        <v>350</v>
      </c>
      <c r="O26" s="191">
        <f t="shared" si="9"/>
        <v>0.46987028000487591</v>
      </c>
      <c r="P26" s="153">
        <f t="shared" si="10"/>
        <v>1.4415080391794493</v>
      </c>
      <c r="Q26" s="153">
        <f t="shared" si="11"/>
        <v>0.11853131254974229</v>
      </c>
      <c r="R26" s="153">
        <f t="shared" si="12"/>
        <v>0.46018276762402083</v>
      </c>
    </row>
    <row r="27" spans="3:18" x14ac:dyDescent="0.25">
      <c r="C27" s="150">
        <v>21</v>
      </c>
      <c r="D27" s="5">
        <f t="shared" si="13"/>
        <v>15.73</v>
      </c>
      <c r="E27" s="386">
        <f t="shared" si="0"/>
        <v>15.32</v>
      </c>
      <c r="F27" s="191">
        <f t="shared" si="1"/>
        <v>0.49339774557165861</v>
      </c>
      <c r="G27" s="152">
        <f t="shared" si="2"/>
        <v>2.6193869565217391</v>
      </c>
      <c r="H27" s="191">
        <f t="shared" si="3"/>
        <v>0.17462579710144926</v>
      </c>
      <c r="I27" s="386">
        <f t="shared" si="4"/>
        <v>31.05</v>
      </c>
      <c r="J27" s="152">
        <f t="shared" si="5"/>
        <v>0.42948980760516481</v>
      </c>
      <c r="K27" s="152">
        <f t="shared" si="6"/>
        <v>1.283281688330753</v>
      </c>
      <c r="L27" s="152">
        <f t="shared" si="7"/>
        <v>1.3176253888670197</v>
      </c>
      <c r="M27" s="386">
        <f t="shared" si="14"/>
        <v>350</v>
      </c>
      <c r="N27" s="175">
        <f t="shared" si="8"/>
        <v>350</v>
      </c>
      <c r="O27" s="191">
        <f t="shared" si="9"/>
        <v>0.47180222114542192</v>
      </c>
      <c r="P27" s="153">
        <f t="shared" si="10"/>
        <v>1.447435012652404</v>
      </c>
      <c r="Q27" s="153">
        <f t="shared" si="11"/>
        <v>0.11950803443828481</v>
      </c>
      <c r="R27" s="153">
        <f t="shared" si="12"/>
        <v>0.46018276762402083</v>
      </c>
    </row>
    <row r="28" spans="3:18" x14ac:dyDescent="0.25">
      <c r="C28" s="150">
        <v>22</v>
      </c>
      <c r="D28" s="5">
        <f t="shared" si="13"/>
        <v>15.86</v>
      </c>
      <c r="E28" s="386">
        <f t="shared" si="0"/>
        <v>15.32</v>
      </c>
      <c r="F28" s="191">
        <f t="shared" si="1"/>
        <v>0.49134060295060938</v>
      </c>
      <c r="G28" s="152">
        <f t="shared" si="2"/>
        <v>2.6300234124438742</v>
      </c>
      <c r="H28" s="191">
        <f t="shared" si="3"/>
        <v>0.17533489416292494</v>
      </c>
      <c r="I28" s="386">
        <f t="shared" si="4"/>
        <v>31.18</v>
      </c>
      <c r="J28" s="152">
        <f t="shared" si="5"/>
        <v>0.42775284610665337</v>
      </c>
      <c r="K28" s="152">
        <f t="shared" si="6"/>
        <v>1.267615622131949</v>
      </c>
      <c r="L28" s="152">
        <f t="shared" si="7"/>
        <v>1.3122965905360775</v>
      </c>
      <c r="M28" s="386">
        <f t="shared" si="14"/>
        <v>350</v>
      </c>
      <c r="N28" s="175">
        <f t="shared" si="8"/>
        <v>350</v>
      </c>
      <c r="O28" s="191">
        <f t="shared" si="9"/>
        <v>0.47371805244964527</v>
      </c>
      <c r="P28" s="153">
        <f t="shared" si="10"/>
        <v>1.4533125629982588</v>
      </c>
      <c r="Q28" s="153">
        <f t="shared" si="11"/>
        <v>0.12048056946522406</v>
      </c>
      <c r="R28" s="153">
        <f t="shared" si="12"/>
        <v>0.46018276762402083</v>
      </c>
    </row>
    <row r="29" spans="3:18" x14ac:dyDescent="0.25">
      <c r="C29" s="150">
        <v>23</v>
      </c>
      <c r="D29" s="5">
        <f t="shared" si="13"/>
        <v>15.99</v>
      </c>
      <c r="E29" s="386">
        <f t="shared" si="0"/>
        <v>15.32</v>
      </c>
      <c r="F29" s="191">
        <f t="shared" si="1"/>
        <v>0.48930054295752151</v>
      </c>
      <c r="G29" s="152">
        <f t="shared" si="2"/>
        <v>2.6405715426381349</v>
      </c>
      <c r="H29" s="191">
        <f t="shared" si="3"/>
        <v>0.17603810284254232</v>
      </c>
      <c r="I29" s="386">
        <f t="shared" si="4"/>
        <v>31.310000000000002</v>
      </c>
      <c r="J29" s="152">
        <f t="shared" si="5"/>
        <v>0.42604412788454055</v>
      </c>
      <c r="K29" s="152">
        <f t="shared" si="6"/>
        <v>1.2522873052266044</v>
      </c>
      <c r="L29" s="152">
        <f t="shared" si="7"/>
        <v>1.3070544393324677</v>
      </c>
      <c r="M29" s="386">
        <f t="shared" si="14"/>
        <v>350</v>
      </c>
      <c r="N29" s="175">
        <f t="shared" si="8"/>
        <v>350</v>
      </c>
      <c r="O29" s="191">
        <f t="shared" si="9"/>
        <v>0.47561797458302552</v>
      </c>
      <c r="P29" s="153">
        <f t="shared" si="10"/>
        <v>1.4591413058356528</v>
      </c>
      <c r="Q29" s="153">
        <f t="shared" si="11"/>
        <v>0.12144892068959723</v>
      </c>
      <c r="R29" s="153">
        <f t="shared" si="12"/>
        <v>0.46018276762402083</v>
      </c>
    </row>
    <row r="30" spans="3:18" x14ac:dyDescent="0.25">
      <c r="C30" s="150">
        <v>24</v>
      </c>
      <c r="D30" s="5">
        <f t="shared" si="13"/>
        <v>16.12</v>
      </c>
      <c r="E30" s="386">
        <f t="shared" si="0"/>
        <v>15.32</v>
      </c>
      <c r="F30" s="191">
        <f t="shared" si="1"/>
        <v>0.48727735368956743</v>
      </c>
      <c r="G30" s="152">
        <f t="shared" si="2"/>
        <v>2.6510324427480918</v>
      </c>
      <c r="H30" s="191">
        <f t="shared" si="3"/>
        <v>0.17673549618320611</v>
      </c>
      <c r="I30" s="386">
        <f t="shared" si="4"/>
        <v>31.44</v>
      </c>
      <c r="J30" s="152">
        <f t="shared" si="5"/>
        <v>0.42436296963375203</v>
      </c>
      <c r="K30" s="152">
        <f t="shared" si="6"/>
        <v>1.2372865739941901</v>
      </c>
      <c r="L30" s="152">
        <f t="shared" si="7"/>
        <v>1.3018968389547221</v>
      </c>
      <c r="M30" s="386">
        <f t="shared" si="14"/>
        <v>350</v>
      </c>
      <c r="N30" s="175">
        <f t="shared" si="8"/>
        <v>350</v>
      </c>
      <c r="O30" s="191">
        <f t="shared" si="9"/>
        <v>0.47750218489214757</v>
      </c>
      <c r="P30" s="153">
        <f t="shared" si="10"/>
        <v>1.4649218466012359</v>
      </c>
      <c r="Q30" s="153">
        <f t="shared" si="11"/>
        <v>0.12241309192845767</v>
      </c>
      <c r="R30" s="153">
        <f t="shared" si="12"/>
        <v>0.46018276762402083</v>
      </c>
    </row>
    <row r="31" spans="3:18" x14ac:dyDescent="0.25">
      <c r="C31" s="150">
        <v>25</v>
      </c>
      <c r="D31" s="5">
        <f t="shared" si="13"/>
        <v>16.25</v>
      </c>
      <c r="E31" s="386">
        <f t="shared" si="0"/>
        <v>15.32</v>
      </c>
      <c r="F31" s="191">
        <f t="shared" si="1"/>
        <v>0.48527082673424138</v>
      </c>
      <c r="G31" s="152">
        <f t="shared" si="2"/>
        <v>2.6614071903706051</v>
      </c>
      <c r="H31" s="191">
        <f t="shared" si="3"/>
        <v>0.17742714602470702</v>
      </c>
      <c r="I31" s="386">
        <f t="shared" si="4"/>
        <v>31.57</v>
      </c>
      <c r="J31" s="152">
        <f t="shared" si="5"/>
        <v>0.42270870991497622</v>
      </c>
      <c r="K31" s="152">
        <f t="shared" si="6"/>
        <v>1.2226036532925466</v>
      </c>
      <c r="L31" s="152">
        <f t="shared" si="7"/>
        <v>1.296821760183021</v>
      </c>
      <c r="M31" s="386">
        <f t="shared" si="14"/>
        <v>350</v>
      </c>
      <c r="N31" s="175">
        <f t="shared" si="8"/>
        <v>350</v>
      </c>
      <c r="O31" s="191">
        <f t="shared" si="9"/>
        <v>0.47937087747303481</v>
      </c>
      <c r="P31" s="153">
        <f t="shared" si="10"/>
        <v>1.4706547807593102</v>
      </c>
      <c r="Q31" s="153">
        <f t="shared" si="11"/>
        <v>0.12337308772468823</v>
      </c>
      <c r="R31" s="153">
        <f t="shared" si="12"/>
        <v>0.46018276762402083</v>
      </c>
    </row>
    <row r="32" spans="3:18" x14ac:dyDescent="0.25">
      <c r="C32" s="150">
        <v>26</v>
      </c>
      <c r="D32" s="5">
        <f t="shared" si="13"/>
        <v>16.38</v>
      </c>
      <c r="E32" s="386">
        <f t="shared" si="0"/>
        <v>15.32</v>
      </c>
      <c r="F32" s="191">
        <f t="shared" si="1"/>
        <v>0.48328075709779184</v>
      </c>
      <c r="G32" s="152">
        <f t="shared" si="2"/>
        <v>2.6716968454258674</v>
      </c>
      <c r="H32" s="191">
        <f t="shared" si="3"/>
        <v>0.17811312302839116</v>
      </c>
      <c r="I32" s="386">
        <f t="shared" si="4"/>
        <v>31.7</v>
      </c>
      <c r="J32" s="152">
        <f t="shared" si="5"/>
        <v>0.42108070828697458</v>
      </c>
      <c r="K32" s="152">
        <f t="shared" si="6"/>
        <v>1.2082291385523691</v>
      </c>
      <c r="L32" s="152">
        <f t="shared" si="7"/>
        <v>1.2918272382172196</v>
      </c>
      <c r="M32" s="386">
        <f t="shared" si="14"/>
        <v>350</v>
      </c>
      <c r="N32" s="175">
        <f t="shared" si="8"/>
        <v>350</v>
      </c>
      <c r="O32" s="191">
        <f t="shared" si="9"/>
        <v>0.48122424323780122</v>
      </c>
      <c r="P32" s="153">
        <f t="shared" si="10"/>
        <v>1.4763406940063091</v>
      </c>
      <c r="Q32" s="153">
        <f t="shared" si="11"/>
        <v>0.12432891331601235</v>
      </c>
      <c r="R32" s="153">
        <f t="shared" si="12"/>
        <v>0.46018276762402083</v>
      </c>
    </row>
    <row r="33" spans="3:18" x14ac:dyDescent="0.25">
      <c r="C33" s="150">
        <v>27</v>
      </c>
      <c r="D33" s="5">
        <f t="shared" si="13"/>
        <v>16.510000000000002</v>
      </c>
      <c r="E33" s="386">
        <f t="shared" si="0"/>
        <v>15.32</v>
      </c>
      <c r="F33" s="191">
        <f t="shared" si="1"/>
        <v>0.48130694313540684</v>
      </c>
      <c r="G33" s="152">
        <f t="shared" si="2"/>
        <v>2.6819024505183791</v>
      </c>
      <c r="H33" s="191">
        <f t="shared" si="3"/>
        <v>0.17879349670122527</v>
      </c>
      <c r="I33" s="386">
        <f t="shared" si="4"/>
        <v>31.830000000000002</v>
      </c>
      <c r="J33" s="152">
        <f t="shared" si="5"/>
        <v>0.4194783444798863</v>
      </c>
      <c r="K33" s="152">
        <f t="shared" si="6"/>
        <v>1.1941539788343218</v>
      </c>
      <c r="L33" s="152">
        <f t="shared" si="7"/>
        <v>1.2869113701406434</v>
      </c>
      <c r="M33" s="386">
        <f t="shared" si="14"/>
        <v>350</v>
      </c>
      <c r="N33" s="175">
        <f t="shared" si="8"/>
        <v>350</v>
      </c>
      <c r="O33" s="191">
        <f t="shared" si="9"/>
        <v>0.48306246997966984</v>
      </c>
      <c r="P33" s="153">
        <f t="shared" si="10"/>
        <v>1.4819801624702664</v>
      </c>
      <c r="Q33" s="153">
        <f t="shared" si="11"/>
        <v>0.12528057460515787</v>
      </c>
      <c r="R33" s="153">
        <f t="shared" si="12"/>
        <v>0.46018276762402083</v>
      </c>
    </row>
    <row r="34" spans="3:18" x14ac:dyDescent="0.25">
      <c r="C34" s="150">
        <v>28</v>
      </c>
      <c r="D34" s="5">
        <f t="shared" si="13"/>
        <v>16.64</v>
      </c>
      <c r="E34" s="386">
        <f t="shared" si="0"/>
        <v>15.32</v>
      </c>
      <c r="F34" s="191">
        <f t="shared" si="1"/>
        <v>0.47934918648310387</v>
      </c>
      <c r="G34" s="152">
        <f t="shared" si="2"/>
        <v>2.6920250312891114</v>
      </c>
      <c r="H34" s="191">
        <f t="shared" si="3"/>
        <v>0.17946833541927409</v>
      </c>
      <c r="I34" s="386">
        <f t="shared" si="4"/>
        <v>31.96</v>
      </c>
      <c r="J34" s="152">
        <f t="shared" si="5"/>
        <v>0.41790101760728393</v>
      </c>
      <c r="K34" s="152">
        <f t="shared" si="6"/>
        <v>1.1803694607898041</v>
      </c>
      <c r="L34" s="152">
        <f t="shared" si="7"/>
        <v>1.282072312502764</v>
      </c>
      <c r="M34" s="386">
        <f t="shared" si="14"/>
        <v>350</v>
      </c>
      <c r="N34" s="175">
        <f t="shared" si="8"/>
        <v>350</v>
      </c>
      <c r="O34" s="191">
        <f t="shared" si="9"/>
        <v>0.4848857424364042</v>
      </c>
      <c r="P34" s="153">
        <f t="shared" si="10"/>
        <v>1.4875737529054174</v>
      </c>
      <c r="Q34" s="153">
        <f t="shared" si="11"/>
        <v>0.12622807813112899</v>
      </c>
      <c r="R34" s="153">
        <f t="shared" si="12"/>
        <v>0.46018276762402083</v>
      </c>
    </row>
    <row r="35" spans="3:18" x14ac:dyDescent="0.25">
      <c r="C35" s="150">
        <v>29</v>
      </c>
      <c r="D35" s="5">
        <f t="shared" si="13"/>
        <v>16.77</v>
      </c>
      <c r="E35" s="386">
        <f t="shared" si="0"/>
        <v>15.32</v>
      </c>
      <c r="F35" s="191">
        <f t="shared" si="1"/>
        <v>0.47740729199127452</v>
      </c>
      <c r="G35" s="152">
        <f t="shared" si="2"/>
        <v>2.7020655967591152</v>
      </c>
      <c r="H35" s="191">
        <f t="shared" si="3"/>
        <v>0.18013770645060767</v>
      </c>
      <c r="I35" s="386">
        <f t="shared" si="4"/>
        <v>32.090000000000003</v>
      </c>
      <c r="J35" s="152">
        <f t="shared" si="5"/>
        <v>0.41634814541487691</v>
      </c>
      <c r="K35" s="152">
        <f t="shared" si="6"/>
        <v>1.1668671934704362</v>
      </c>
      <c r="L35" s="152">
        <f t="shared" si="7"/>
        <v>1.2773082790143091</v>
      </c>
      <c r="M35" s="386">
        <f t="shared" si="14"/>
        <v>350</v>
      </c>
      <c r="N35" s="175">
        <f t="shared" si="8"/>
        <v>350</v>
      </c>
      <c r="O35" s="191">
        <f t="shared" si="9"/>
        <v>0.48669424235219916</v>
      </c>
      <c r="P35" s="153">
        <f t="shared" si="10"/>
        <v>1.493122022882073</v>
      </c>
      <c r="Q35" s="153">
        <f t="shared" si="11"/>
        <v>0.12717143104154535</v>
      </c>
      <c r="R35" s="153">
        <f t="shared" si="12"/>
        <v>0.46018276762402083</v>
      </c>
    </row>
    <row r="36" spans="3:18" x14ac:dyDescent="0.25">
      <c r="C36" s="150">
        <v>30</v>
      </c>
      <c r="D36" s="5">
        <f t="shared" si="13"/>
        <v>16.899999999999999</v>
      </c>
      <c r="E36" s="386">
        <f t="shared" si="0"/>
        <v>15.32</v>
      </c>
      <c r="F36" s="191">
        <f t="shared" si="1"/>
        <v>0.47548106765983861</v>
      </c>
      <c r="G36" s="152">
        <f t="shared" si="2"/>
        <v>2.7120251396648047</v>
      </c>
      <c r="H36" s="191">
        <f t="shared" si="3"/>
        <v>0.18080167597765365</v>
      </c>
      <c r="I36" s="386">
        <f t="shared" si="4"/>
        <v>32.22</v>
      </c>
      <c r="J36" s="152">
        <f t="shared" si="5"/>
        <v>0.41481916356389142</v>
      </c>
      <c r="K36" s="152">
        <f t="shared" si="6"/>
        <v>1.1536390939350827</v>
      </c>
      <c r="L36" s="152">
        <f t="shared" si="7"/>
        <v>1.272617538348753</v>
      </c>
      <c r="M36" s="386">
        <f t="shared" si="14"/>
        <v>350</v>
      </c>
      <c r="N36" s="175">
        <f t="shared" si="8"/>
        <v>350</v>
      </c>
      <c r="O36" s="191">
        <f t="shared" si="9"/>
        <v>0.48848814853807138</v>
      </c>
      <c r="P36" s="153">
        <f t="shared" si="10"/>
        <v>1.4986255209718897</v>
      </c>
      <c r="Q36" s="153">
        <f t="shared" si="11"/>
        <v>0.12811064106600567</v>
      </c>
      <c r="R36" s="153">
        <f t="shared" si="12"/>
        <v>0.46018276762402083</v>
      </c>
    </row>
    <row r="37" spans="3:18" x14ac:dyDescent="0.25">
      <c r="C37" s="150">
        <v>31</v>
      </c>
      <c r="D37" s="5">
        <f t="shared" si="13"/>
        <v>17.03</v>
      </c>
      <c r="E37" s="386">
        <f t="shared" si="0"/>
        <v>15.32</v>
      </c>
      <c r="F37" s="191">
        <f t="shared" si="1"/>
        <v>0.47357032457496134</v>
      </c>
      <c r="G37" s="152">
        <f t="shared" si="2"/>
        <v>2.7219046367851627</v>
      </c>
      <c r="H37" s="191">
        <f t="shared" si="3"/>
        <v>0.18146030911901084</v>
      </c>
      <c r="I37" s="386">
        <f t="shared" si="4"/>
        <v>32.35</v>
      </c>
      <c r="J37" s="152">
        <f t="shared" si="5"/>
        <v>0.41331352494727214</v>
      </c>
      <c r="K37" s="152">
        <f t="shared" si="6"/>
        <v>1.1406773736066818</v>
      </c>
      <c r="L37" s="152">
        <f t="shared" si="7"/>
        <v>1.2679984120445031</v>
      </c>
      <c r="M37" s="386">
        <f t="shared" si="14"/>
        <v>350</v>
      </c>
      <c r="N37" s="175">
        <f t="shared" si="8"/>
        <v>350</v>
      </c>
      <c r="O37" s="191">
        <f t="shared" si="9"/>
        <v>0.490267636930796</v>
      </c>
      <c r="P37" s="153">
        <f t="shared" si="10"/>
        <v>1.5040847869286822</v>
      </c>
      <c r="Q37" s="153">
        <f t="shared" si="11"/>
        <v>0.12904571649043983</v>
      </c>
      <c r="R37" s="153">
        <f t="shared" si="12"/>
        <v>0.46018276762402083</v>
      </c>
    </row>
    <row r="38" spans="3:18" x14ac:dyDescent="0.25">
      <c r="C38" s="150">
        <v>32</v>
      </c>
      <c r="D38" s="5">
        <f t="shared" si="13"/>
        <v>17.16</v>
      </c>
      <c r="E38" s="386">
        <f t="shared" ref="E38:E69" si="15">(Vout+Vfwd1)*Nps</f>
        <v>15.32</v>
      </c>
      <c r="F38" s="191">
        <f t="shared" ref="F38:F69" si="16">(Vout+Vfwd1)*Nps/((Vout+Vfwd1)*Nps+D38)</f>
        <v>0.47167487684729059</v>
      </c>
      <c r="G38" s="152">
        <f t="shared" ref="G38:G69" si="17">F38*D38*Isw_max*0.5*Efficiency</f>
        <v>2.7317050492610835</v>
      </c>
      <c r="H38" s="191">
        <f t="shared" ref="H38:H69" si="18">G38/Vout</f>
        <v>0.18211366995073891</v>
      </c>
      <c r="I38" s="386">
        <f t="shared" ref="I38:I69" si="19">(Vout+Vfwd1)*Nps+D38</f>
        <v>32.480000000000004</v>
      </c>
      <c r="J38" s="152">
        <f t="shared" ref="J38:J69" si="20">MIN(2*Vout*Iout/(Efficiency*D38*F38), 1.35)</f>
        <v>0.4118306990369654</v>
      </c>
      <c r="K38" s="152">
        <f t="shared" ref="K38:K69" si="21">L*J38/D38*1000000</f>
        <v>1.1279745253343458</v>
      </c>
      <c r="L38" s="152">
        <f t="shared" ref="L38:L69" si="22">L*J38/((Vout+Vfwd1)*Nps)*1000000</f>
        <v>1.2634492725024395</v>
      </c>
      <c r="M38" s="386">
        <f t="shared" si="14"/>
        <v>350</v>
      </c>
      <c r="N38" s="175">
        <f t="shared" ref="N38:N69" si="23">IF(1/((350000*L)*(1/D38+1/E38))&gt;Isw_min, 350, 0.001/((Isw_min*L)*(1/D38+1/E38)))</f>
        <v>350</v>
      </c>
      <c r="O38" s="191">
        <f t="shared" ref="O38:O69" si="24">1/((N38*1000*L)*(1/D38+1/E38))</f>
        <v>0.492032880650426</v>
      </c>
      <c r="P38" s="153">
        <f t="shared" ref="P38:P69" si="25">L*O38/E38*1000000</f>
        <v>1.5095003518648837</v>
      </c>
      <c r="Q38" s="153">
        <f t="shared" ref="Q38:Q69" si="26">0.5*P38*O38*Nps*N38/1000</f>
        <v>0.12997666613240932</v>
      </c>
      <c r="R38" s="153">
        <f t="shared" ref="R38:R69" si="27">L*Isw_min/E38*1000000</f>
        <v>0.46018276762402083</v>
      </c>
    </row>
    <row r="39" spans="3:18" x14ac:dyDescent="0.25">
      <c r="C39" s="150">
        <v>33</v>
      </c>
      <c r="D39" s="5">
        <f t="shared" ref="D39:D70" si="28">C39/100*(VIN_max-VIN_min)+VIN_min</f>
        <v>17.29</v>
      </c>
      <c r="E39" s="386">
        <f t="shared" si="15"/>
        <v>15.32</v>
      </c>
      <c r="F39" s="191">
        <f t="shared" si="16"/>
        <v>0.46979454155167127</v>
      </c>
      <c r="G39" s="152">
        <f t="shared" si="17"/>
        <v>2.7414273229070836</v>
      </c>
      <c r="H39" s="191">
        <f t="shared" si="18"/>
        <v>0.18276182152713891</v>
      </c>
      <c r="I39" s="386">
        <f t="shared" si="19"/>
        <v>32.61</v>
      </c>
      <c r="J39" s="152">
        <f t="shared" si="20"/>
        <v>0.41037017126064812</v>
      </c>
      <c r="K39" s="152">
        <f t="shared" si="21"/>
        <v>1.1155233111191709</v>
      </c>
      <c r="L39" s="152">
        <f t="shared" si="22"/>
        <v>1.2589685410737899</v>
      </c>
      <c r="M39" s="386">
        <f t="shared" si="14"/>
        <v>350</v>
      </c>
      <c r="N39" s="175">
        <f t="shared" si="23"/>
        <v>350</v>
      </c>
      <c r="O39" s="191">
        <f t="shared" si="24"/>
        <v>0.4937840500564375</v>
      </c>
      <c r="P39" s="153">
        <f t="shared" si="25"/>
        <v>1.5148727384237963</v>
      </c>
      <c r="Q39" s="153">
        <f t="shared" si="26"/>
        <v>0.13090349931732298</v>
      </c>
      <c r="R39" s="153">
        <f t="shared" si="27"/>
        <v>0.46018276762402083</v>
      </c>
    </row>
    <row r="40" spans="3:18" x14ac:dyDescent="0.25">
      <c r="C40" s="150">
        <v>34</v>
      </c>
      <c r="D40" s="5">
        <f t="shared" si="28"/>
        <v>17.420000000000002</v>
      </c>
      <c r="E40" s="386">
        <f t="shared" si="15"/>
        <v>15.32</v>
      </c>
      <c r="F40" s="191">
        <f t="shared" si="16"/>
        <v>0.46792913866829566</v>
      </c>
      <c r="G40" s="152">
        <f t="shared" si="17"/>
        <v>2.7510723885155777</v>
      </c>
      <c r="H40" s="191">
        <f t="shared" si="18"/>
        <v>0.18340482590103852</v>
      </c>
      <c r="I40" s="386">
        <f t="shared" si="19"/>
        <v>32.74</v>
      </c>
      <c r="J40" s="152">
        <f t="shared" si="20"/>
        <v>0.40893144240636536</v>
      </c>
      <c r="K40" s="152">
        <f t="shared" si="21"/>
        <v>1.103316750464935</v>
      </c>
      <c r="L40" s="152">
        <f t="shared" si="22"/>
        <v>1.2545546862336274</v>
      </c>
      <c r="M40" s="386">
        <f t="shared" si="14"/>
        <v>350</v>
      </c>
      <c r="N40" s="175">
        <f t="shared" si="23"/>
        <v>350</v>
      </c>
      <c r="O40" s="191">
        <f t="shared" si="24"/>
        <v>0.4955213128025357</v>
      </c>
      <c r="P40" s="153">
        <f t="shared" si="25"/>
        <v>1.5202024609477269</v>
      </c>
      <c r="Q40" s="153">
        <f t="shared" si="26"/>
        <v>0.13182622585553105</v>
      </c>
      <c r="R40" s="153">
        <f t="shared" si="27"/>
        <v>0.46018276762402083</v>
      </c>
    </row>
    <row r="41" spans="3:18" x14ac:dyDescent="0.25">
      <c r="C41" s="150">
        <v>35</v>
      </c>
      <c r="D41" s="5">
        <f t="shared" si="28"/>
        <v>17.55</v>
      </c>
      <c r="E41" s="386">
        <f t="shared" si="15"/>
        <v>15.32</v>
      </c>
      <c r="F41" s="191">
        <f t="shared" si="16"/>
        <v>0.46607849102525095</v>
      </c>
      <c r="G41" s="152">
        <f t="shared" si="17"/>
        <v>2.7606411621539397</v>
      </c>
      <c r="H41" s="191">
        <f t="shared" si="18"/>
        <v>0.18404274414359598</v>
      </c>
      <c r="I41" s="386">
        <f t="shared" si="19"/>
        <v>32.870000000000005</v>
      </c>
      <c r="J41" s="152">
        <f t="shared" si="20"/>
        <v>0.40751402805362769</v>
      </c>
      <c r="K41" s="152">
        <f t="shared" si="21"/>
        <v>1.0913481093174076</v>
      </c>
      <c r="L41" s="152">
        <f t="shared" si="22"/>
        <v>1.2502062218355419</v>
      </c>
      <c r="M41" s="386">
        <f t="shared" si="14"/>
        <v>350</v>
      </c>
      <c r="N41" s="175">
        <f t="shared" si="23"/>
        <v>350</v>
      </c>
      <c r="O41" s="191">
        <f t="shared" si="24"/>
        <v>0.49724483389016144</v>
      </c>
      <c r="P41" s="153">
        <f t="shared" si="25"/>
        <v>1.5254900256421402</v>
      </c>
      <c r="Q41" s="153">
        <f t="shared" si="26"/>
        <v>0.13274485602026673</v>
      </c>
      <c r="R41" s="153">
        <f t="shared" si="27"/>
        <v>0.46018276762402083</v>
      </c>
    </row>
    <row r="42" spans="3:18" x14ac:dyDescent="0.25">
      <c r="C42" s="150">
        <v>36</v>
      </c>
      <c r="D42" s="5">
        <f t="shared" si="28"/>
        <v>17.68</v>
      </c>
      <c r="E42" s="386">
        <f t="shared" si="15"/>
        <v>15.32</v>
      </c>
      <c r="F42" s="191">
        <f t="shared" si="16"/>
        <v>0.46424242424242423</v>
      </c>
      <c r="G42" s="152">
        <f t="shared" si="17"/>
        <v>2.7701345454545456</v>
      </c>
      <c r="H42" s="191">
        <f t="shared" si="18"/>
        <v>0.18467563636363638</v>
      </c>
      <c r="I42" s="386">
        <f t="shared" si="19"/>
        <v>33</v>
      </c>
      <c r="J42" s="152">
        <f t="shared" si="20"/>
        <v>0.40611745802960669</v>
      </c>
      <c r="K42" s="152">
        <f t="shared" si="21"/>
        <v>1.0796108895583436</v>
      </c>
      <c r="L42" s="152">
        <f t="shared" si="22"/>
        <v>1.2459217054433103</v>
      </c>
      <c r="M42" s="386">
        <f t="shared" si="14"/>
        <v>350</v>
      </c>
      <c r="N42" s="175">
        <f t="shared" si="23"/>
        <v>350</v>
      </c>
      <c r="O42" s="191">
        <f t="shared" si="24"/>
        <v>0.49895477572073327</v>
      </c>
      <c r="P42" s="153">
        <f t="shared" si="25"/>
        <v>1.5307359307359309</v>
      </c>
      <c r="Q42" s="153">
        <f t="shared" si="26"/>
        <v>0.13365940052640249</v>
      </c>
      <c r="R42" s="153">
        <f t="shared" si="27"/>
        <v>0.46018276762402083</v>
      </c>
    </row>
    <row r="43" spans="3:18" x14ac:dyDescent="0.25">
      <c r="C43" s="150">
        <v>37</v>
      </c>
      <c r="D43" s="5">
        <f t="shared" si="28"/>
        <v>17.809999999999999</v>
      </c>
      <c r="E43" s="386">
        <f t="shared" si="15"/>
        <v>15.32</v>
      </c>
      <c r="F43" s="191">
        <f t="shared" si="16"/>
        <v>0.4624207666767281</v>
      </c>
      <c r="G43" s="152">
        <f t="shared" si="17"/>
        <v>2.7795534258979782</v>
      </c>
      <c r="H43" s="191">
        <f t="shared" si="18"/>
        <v>0.18530356172653187</v>
      </c>
      <c r="I43" s="386">
        <f t="shared" si="19"/>
        <v>33.129999999999995</v>
      </c>
      <c r="J43" s="152">
        <f t="shared" si="20"/>
        <v>0.40474127588914799</v>
      </c>
      <c r="K43" s="152">
        <f t="shared" si="21"/>
        <v>1.0680988190224567</v>
      </c>
      <c r="L43" s="152">
        <f t="shared" si="22"/>
        <v>1.2416997367356366</v>
      </c>
      <c r="M43" s="386">
        <f t="shared" si="14"/>
        <v>350</v>
      </c>
      <c r="N43" s="175">
        <f t="shared" si="23"/>
        <v>350</v>
      </c>
      <c r="O43" s="191">
        <f t="shared" si="24"/>
        <v>0.50065129814665821</v>
      </c>
      <c r="P43" s="153">
        <f t="shared" si="25"/>
        <v>1.5359406666379198</v>
      </c>
      <c r="Q43" s="153">
        <f t="shared" si="26"/>
        <v>0.13456987050999067</v>
      </c>
      <c r="R43" s="153">
        <f t="shared" si="27"/>
        <v>0.46018276762402083</v>
      </c>
    </row>
    <row r="44" spans="3:18" x14ac:dyDescent="0.25">
      <c r="C44" s="150">
        <v>38</v>
      </c>
      <c r="D44" s="5">
        <f t="shared" si="28"/>
        <v>17.940000000000001</v>
      </c>
      <c r="E44" s="386">
        <f t="shared" si="15"/>
        <v>15.32</v>
      </c>
      <c r="F44" s="191">
        <f t="shared" si="16"/>
        <v>0.46061334936861087</v>
      </c>
      <c r="G44" s="152">
        <f t="shared" si="17"/>
        <v>2.7888986770895969</v>
      </c>
      <c r="H44" s="191">
        <f t="shared" si="18"/>
        <v>0.1859265784726398</v>
      </c>
      <c r="I44" s="386">
        <f t="shared" si="19"/>
        <v>33.260000000000005</v>
      </c>
      <c r="J44" s="152">
        <f t="shared" si="20"/>
        <v>0.40338503841739176</v>
      </c>
      <c r="K44" s="152">
        <f t="shared" si="21"/>
        <v>1.0568058420076596</v>
      </c>
      <c r="L44" s="152">
        <f t="shared" si="22"/>
        <v>1.2375389559802488</v>
      </c>
      <c r="M44" s="386">
        <f t="shared" si="14"/>
        <v>350</v>
      </c>
      <c r="N44" s="175">
        <f t="shared" si="23"/>
        <v>350</v>
      </c>
      <c r="O44" s="191">
        <f t="shared" si="24"/>
        <v>0.50233455852114783</v>
      </c>
      <c r="P44" s="153">
        <f t="shared" si="25"/>
        <v>1.5411047160896831</v>
      </c>
      <c r="Q44" s="153">
        <f t="shared" si="26"/>
        <v>0.13547627750855973</v>
      </c>
      <c r="R44" s="153">
        <f t="shared" si="27"/>
        <v>0.46018276762402083</v>
      </c>
    </row>
    <row r="45" spans="3:18" x14ac:dyDescent="0.25">
      <c r="C45" s="150">
        <v>39</v>
      </c>
      <c r="D45" s="5">
        <f t="shared" si="28"/>
        <v>18.07</v>
      </c>
      <c r="E45" s="386">
        <f t="shared" si="15"/>
        <v>15.32</v>
      </c>
      <c r="F45" s="191">
        <f t="shared" si="16"/>
        <v>0.45882000598981731</v>
      </c>
      <c r="G45" s="152">
        <f t="shared" si="17"/>
        <v>2.7981711590296494</v>
      </c>
      <c r="H45" s="191">
        <f t="shared" si="18"/>
        <v>0.18654474393530995</v>
      </c>
      <c r="I45" s="386">
        <f t="shared" si="19"/>
        <v>33.39</v>
      </c>
      <c r="J45" s="152">
        <f t="shared" si="20"/>
        <v>0.40204831515386197</v>
      </c>
      <c r="K45" s="152">
        <f t="shared" si="21"/>
        <v>1.0457261102507753</v>
      </c>
      <c r="L45" s="152">
        <f t="shared" si="22"/>
        <v>1.2334380425738585</v>
      </c>
      <c r="M45" s="386">
        <f t="shared" si="14"/>
        <v>350</v>
      </c>
      <c r="N45" s="175">
        <f t="shared" si="23"/>
        <v>350</v>
      </c>
      <c r="O45" s="191">
        <f t="shared" si="24"/>
        <v>0.50400471174686923</v>
      </c>
      <c r="P45" s="153">
        <f t="shared" si="25"/>
        <v>1.5462285543148075</v>
      </c>
      <c r="Q45" s="153">
        <f t="shared" si="26"/>
        <v>0.13637863344213724</v>
      </c>
      <c r="R45" s="153">
        <f t="shared" si="27"/>
        <v>0.46018276762402083</v>
      </c>
    </row>
    <row r="46" spans="3:18" x14ac:dyDescent="0.25">
      <c r="C46" s="150">
        <v>40</v>
      </c>
      <c r="D46" s="5">
        <f t="shared" si="28"/>
        <v>18.2</v>
      </c>
      <c r="E46" s="386">
        <f t="shared" si="15"/>
        <v>15.32</v>
      </c>
      <c r="F46" s="191">
        <f t="shared" si="16"/>
        <v>0.45704057279236282</v>
      </c>
      <c r="G46" s="152">
        <f t="shared" si="17"/>
        <v>2.8073717183770888</v>
      </c>
      <c r="H46" s="191">
        <f t="shared" si="18"/>
        <v>0.18715811455847259</v>
      </c>
      <c r="I46" s="386">
        <f t="shared" si="19"/>
        <v>33.519999999999996</v>
      </c>
      <c r="J46" s="152">
        <f t="shared" si="20"/>
        <v>0.40073068793695427</v>
      </c>
      <c r="K46" s="152">
        <f t="shared" si="21"/>
        <v>1.0348539743426841</v>
      </c>
      <c r="L46" s="152">
        <f t="shared" si="22"/>
        <v>1.2293957136447029</v>
      </c>
      <c r="M46" s="386">
        <f t="shared" si="14"/>
        <v>350</v>
      </c>
      <c r="N46" s="175">
        <f t="shared" si="23"/>
        <v>350</v>
      </c>
      <c r="O46" s="191">
        <f t="shared" si="24"/>
        <v>0.5056619103234653</v>
      </c>
      <c r="P46" s="153">
        <f t="shared" si="25"/>
        <v>1.551312649164678</v>
      </c>
      <c r="Q46" s="153">
        <f t="shared" si="26"/>
        <v>0.13727695059497422</v>
      </c>
      <c r="R46" s="153">
        <f t="shared" si="27"/>
        <v>0.46018276762402083</v>
      </c>
    </row>
    <row r="47" spans="3:18" x14ac:dyDescent="0.25">
      <c r="C47" s="150">
        <v>41</v>
      </c>
      <c r="D47" s="5">
        <f t="shared" si="28"/>
        <v>18.329999999999998</v>
      </c>
      <c r="E47" s="386">
        <f t="shared" si="15"/>
        <v>15.32</v>
      </c>
      <c r="F47" s="191">
        <f t="shared" si="16"/>
        <v>0.45527488855869247</v>
      </c>
      <c r="G47" s="152">
        <f t="shared" si="17"/>
        <v>2.8165011887072806</v>
      </c>
      <c r="H47" s="191">
        <f t="shared" si="18"/>
        <v>0.1877667459138187</v>
      </c>
      <c r="I47" s="386">
        <f t="shared" si="19"/>
        <v>33.65</v>
      </c>
      <c r="J47" s="152">
        <f t="shared" si="20"/>
        <v>0.39943175046780399</v>
      </c>
      <c r="K47" s="152">
        <f t="shared" si="21"/>
        <v>1.0241839755584718</v>
      </c>
      <c r="L47" s="152">
        <f t="shared" si="22"/>
        <v>1.2254107227145421</v>
      </c>
      <c r="M47" s="386">
        <f t="shared" si="14"/>
        <v>350</v>
      </c>
      <c r="N47" s="175">
        <f t="shared" si="23"/>
        <v>350</v>
      </c>
      <c r="O47" s="191">
        <f t="shared" si="24"/>
        <v>0.50730630439397162</v>
      </c>
      <c r="P47" s="153">
        <f t="shared" si="25"/>
        <v>1.556357461260879</v>
      </c>
      <c r="Q47" s="153">
        <f t="shared" si="26"/>
        <v>0.13817124159794208</v>
      </c>
      <c r="R47" s="153">
        <f t="shared" si="27"/>
        <v>0.46018276762402083</v>
      </c>
    </row>
    <row r="48" spans="3:18" x14ac:dyDescent="0.25">
      <c r="C48" s="150">
        <v>42</v>
      </c>
      <c r="D48" s="5">
        <f t="shared" si="28"/>
        <v>18.46</v>
      </c>
      <c r="E48" s="386">
        <f t="shared" si="15"/>
        <v>15.32</v>
      </c>
      <c r="F48" s="191">
        <f t="shared" si="16"/>
        <v>0.45352279455298994</v>
      </c>
      <c r="G48" s="152">
        <f t="shared" si="17"/>
        <v>2.8255603907637656</v>
      </c>
      <c r="H48" s="191">
        <f t="shared" si="18"/>
        <v>0.18837069271758439</v>
      </c>
      <c r="I48" s="386">
        <f t="shared" si="19"/>
        <v>33.78</v>
      </c>
      <c r="J48" s="152">
        <f t="shared" si="20"/>
        <v>0.39815110789258545</v>
      </c>
      <c r="K48" s="152">
        <f t="shared" si="21"/>
        <v>1.0137108380797137</v>
      </c>
      <c r="L48" s="152">
        <f t="shared" si="22"/>
        <v>1.2214818584172007</v>
      </c>
      <c r="M48" s="386">
        <f t="shared" si="14"/>
        <v>350</v>
      </c>
      <c r="N48" s="175">
        <f t="shared" si="23"/>
        <v>350</v>
      </c>
      <c r="O48" s="191">
        <f t="shared" si="24"/>
        <v>0.50893804179016389</v>
      </c>
      <c r="P48" s="153">
        <f t="shared" si="25"/>
        <v>1.5613634441343145</v>
      </c>
      <c r="Q48" s="153">
        <f t="shared" si="26"/>
        <v>0.13906151941158121</v>
      </c>
      <c r="R48" s="153">
        <f t="shared" si="27"/>
        <v>0.46018276762402083</v>
      </c>
    </row>
    <row r="49" spans="3:18" x14ac:dyDescent="0.25">
      <c r="C49" s="150">
        <v>43</v>
      </c>
      <c r="D49" s="5">
        <f t="shared" si="28"/>
        <v>18.59</v>
      </c>
      <c r="E49" s="386">
        <f t="shared" si="15"/>
        <v>15.32</v>
      </c>
      <c r="F49" s="191">
        <f t="shared" si="16"/>
        <v>0.45178413447360666</v>
      </c>
      <c r="G49" s="152">
        <f t="shared" si="17"/>
        <v>2.8345501327042175</v>
      </c>
      <c r="H49" s="191">
        <f t="shared" si="18"/>
        <v>0.18897000884694784</v>
      </c>
      <c r="I49" s="386">
        <f t="shared" si="19"/>
        <v>33.909999999999997</v>
      </c>
      <c r="J49" s="152">
        <f t="shared" si="20"/>
        <v>0.39688837640233499</v>
      </c>
      <c r="K49" s="152">
        <f t="shared" si="21"/>
        <v>1.0034294615873987</v>
      </c>
      <c r="L49" s="152">
        <f t="shared" si="22"/>
        <v>1.2176079432708711</v>
      </c>
      <c r="M49" s="386">
        <f t="shared" si="14"/>
        <v>350</v>
      </c>
      <c r="N49" s="175">
        <f t="shared" si="23"/>
        <v>350</v>
      </c>
      <c r="O49" s="191">
        <f t="shared" si="24"/>
        <v>0.51055726807685997</v>
      </c>
      <c r="P49" s="153">
        <f t="shared" si="25"/>
        <v>1.566331044361124</v>
      </c>
      <c r="Q49" s="153">
        <f t="shared" si="26"/>
        <v>0.13994779730977333</v>
      </c>
      <c r="R49" s="153">
        <f t="shared" si="27"/>
        <v>0.46018276762402083</v>
      </c>
    </row>
    <row r="50" spans="3:18" x14ac:dyDescent="0.25">
      <c r="C50" s="150">
        <v>44</v>
      </c>
      <c r="D50" s="5">
        <f t="shared" si="28"/>
        <v>18.72</v>
      </c>
      <c r="E50" s="386">
        <f t="shared" si="15"/>
        <v>15.32</v>
      </c>
      <c r="F50" s="191">
        <f t="shared" si="16"/>
        <v>0.4500587544065805</v>
      </c>
      <c r="G50" s="152">
        <f t="shared" si="17"/>
        <v>2.8434712103407755</v>
      </c>
      <c r="H50" s="191">
        <f t="shared" si="18"/>
        <v>0.18956474735605169</v>
      </c>
      <c r="I50" s="386">
        <f t="shared" si="19"/>
        <v>34.04</v>
      </c>
      <c r="J50" s="152">
        <f t="shared" si="20"/>
        <v>0.39564318284944922</v>
      </c>
      <c r="K50" s="152">
        <f t="shared" si="21"/>
        <v>0.99333491420534781</v>
      </c>
      <c r="L50" s="152">
        <f t="shared" si="22"/>
        <v>1.2137878325015738</v>
      </c>
      <c r="M50" s="386">
        <f t="shared" si="14"/>
        <v>350</v>
      </c>
      <c r="N50" s="175">
        <f t="shared" si="23"/>
        <v>350</v>
      </c>
      <c r="O50" s="191">
        <f t="shared" si="24"/>
        <v>0.51216412659520894</v>
      </c>
      <c r="P50" s="153">
        <f t="shared" si="25"/>
        <v>1.571260701695484</v>
      </c>
      <c r="Q50" s="153">
        <f t="shared" si="26"/>
        <v>0.14083008886401749</v>
      </c>
      <c r="R50" s="153">
        <f t="shared" si="27"/>
        <v>0.46018276762402083</v>
      </c>
    </row>
    <row r="51" spans="3:18" x14ac:dyDescent="0.25">
      <c r="C51" s="150">
        <v>45</v>
      </c>
      <c r="D51" s="5">
        <f t="shared" si="28"/>
        <v>18.850000000000001</v>
      </c>
      <c r="E51" s="386">
        <f t="shared" si="15"/>
        <v>15.32</v>
      </c>
      <c r="F51" s="191">
        <f t="shared" si="16"/>
        <v>0.44834650278021654</v>
      </c>
      <c r="G51" s="152">
        <f t="shared" si="17"/>
        <v>2.8523244073748901</v>
      </c>
      <c r="H51" s="191">
        <f t="shared" si="18"/>
        <v>0.19015496049165934</v>
      </c>
      <c r="I51" s="386">
        <f t="shared" si="19"/>
        <v>34.17</v>
      </c>
      <c r="J51" s="152">
        <f t="shared" si="20"/>
        <v>0.39441516438005131</v>
      </c>
      <c r="K51" s="152">
        <f t="shared" si="21"/>
        <v>0.98342242577519412</v>
      </c>
      <c r="L51" s="152">
        <f t="shared" si="22"/>
        <v>1.2100204129153009</v>
      </c>
      <c r="M51" s="386">
        <f t="shared" si="14"/>
        <v>350</v>
      </c>
      <c r="N51" s="175">
        <f t="shared" si="23"/>
        <v>350</v>
      </c>
      <c r="O51" s="191">
        <f t="shared" si="24"/>
        <v>0.51375875850498998</v>
      </c>
      <c r="P51" s="153">
        <f t="shared" si="25"/>
        <v>1.5761528491993819</v>
      </c>
      <c r="Q51" s="153">
        <f t="shared" si="26"/>
        <v>0.14170840792828598</v>
      </c>
      <c r="R51" s="153">
        <f t="shared" si="27"/>
        <v>0.46018276762402083</v>
      </c>
    </row>
    <row r="52" spans="3:18" x14ac:dyDescent="0.25">
      <c r="C52" s="150">
        <v>46</v>
      </c>
      <c r="D52" s="5">
        <f t="shared" si="28"/>
        <v>18.98</v>
      </c>
      <c r="E52" s="386">
        <f t="shared" si="15"/>
        <v>15.32</v>
      </c>
      <c r="F52" s="191">
        <f t="shared" si="16"/>
        <v>0.44664723032069975</v>
      </c>
      <c r="G52" s="152">
        <f t="shared" si="17"/>
        <v>2.8611104956268223</v>
      </c>
      <c r="H52" s="191">
        <f t="shared" si="18"/>
        <v>0.19074069970845481</v>
      </c>
      <c r="I52" s="386">
        <f t="shared" si="19"/>
        <v>34.299999999999997</v>
      </c>
      <c r="J52" s="152">
        <f t="shared" si="20"/>
        <v>0.39320396808146724</v>
      </c>
      <c r="K52" s="152">
        <f t="shared" si="21"/>
        <v>0.97368738144515066</v>
      </c>
      <c r="L52" s="152">
        <f t="shared" si="22"/>
        <v>1.2063046018165118</v>
      </c>
      <c r="M52" s="386">
        <f t="shared" si="14"/>
        <v>350</v>
      </c>
      <c r="N52" s="175">
        <f t="shared" si="23"/>
        <v>350</v>
      </c>
      <c r="O52" s="191">
        <f t="shared" si="24"/>
        <v>0.51534130282595025</v>
      </c>
      <c r="P52" s="153">
        <f t="shared" si="25"/>
        <v>1.5810079133694295</v>
      </c>
      <c r="Q52" s="153">
        <f t="shared" si="26"/>
        <v>0.1425827686244393</v>
      </c>
      <c r="R52" s="153">
        <f t="shared" si="27"/>
        <v>0.46018276762402083</v>
      </c>
    </row>
    <row r="53" spans="3:18" x14ac:dyDescent="0.25">
      <c r="C53" s="150">
        <v>47</v>
      </c>
      <c r="D53" s="5">
        <f t="shared" si="28"/>
        <v>19.11</v>
      </c>
      <c r="E53" s="386">
        <f t="shared" si="15"/>
        <v>15.32</v>
      </c>
      <c r="F53" s="191">
        <f t="shared" si="16"/>
        <v>0.44496079000871336</v>
      </c>
      <c r="G53" s="152">
        <f t="shared" si="17"/>
        <v>2.8698302352599483</v>
      </c>
      <c r="H53" s="191">
        <f t="shared" si="18"/>
        <v>0.19132201568399657</v>
      </c>
      <c r="I53" s="386">
        <f t="shared" si="19"/>
        <v>34.43</v>
      </c>
      <c r="J53" s="152">
        <f t="shared" si="20"/>
        <v>0.39200925064408837</v>
      </c>
      <c r="K53" s="152">
        <f t="shared" si="21"/>
        <v>0.9641253155558428</v>
      </c>
      <c r="L53" s="152">
        <f t="shared" si="22"/>
        <v>1.2026393459707672</v>
      </c>
      <c r="M53" s="386">
        <f t="shared" si="14"/>
        <v>350</v>
      </c>
      <c r="N53" s="175">
        <f t="shared" si="23"/>
        <v>350</v>
      </c>
      <c r="O53" s="191">
        <f t="shared" si="24"/>
        <v>0.51691189647820746</v>
      </c>
      <c r="P53" s="153">
        <f t="shared" si="25"/>
        <v>1.5858263142608191</v>
      </c>
      <c r="Q53" s="153">
        <f t="shared" si="26"/>
        <v>0.14345318532818102</v>
      </c>
      <c r="R53" s="153">
        <f t="shared" si="27"/>
        <v>0.46018276762402083</v>
      </c>
    </row>
    <row r="54" spans="3:18" x14ac:dyDescent="0.25">
      <c r="C54" s="150">
        <v>48</v>
      </c>
      <c r="D54" s="5">
        <f t="shared" si="28"/>
        <v>19.240000000000002</v>
      </c>
      <c r="E54" s="386">
        <f t="shared" si="15"/>
        <v>15.32</v>
      </c>
      <c r="F54" s="191">
        <f t="shared" si="16"/>
        <v>0.44328703703703703</v>
      </c>
      <c r="G54" s="152">
        <f t="shared" si="17"/>
        <v>2.8784843750000002</v>
      </c>
      <c r="H54" s="191">
        <f t="shared" si="18"/>
        <v>0.19189895833333334</v>
      </c>
      <c r="I54" s="386">
        <f t="shared" si="19"/>
        <v>34.56</v>
      </c>
      <c r="J54" s="152">
        <f t="shared" si="20"/>
        <v>0.39083067803694427</v>
      </c>
      <c r="K54" s="152">
        <f t="shared" si="21"/>
        <v>0.954731905807504</v>
      </c>
      <c r="L54" s="152">
        <f t="shared" si="22"/>
        <v>1.199023620609424</v>
      </c>
      <c r="M54" s="386">
        <f t="shared" si="14"/>
        <v>350</v>
      </c>
      <c r="N54" s="175">
        <f t="shared" si="23"/>
        <v>350</v>
      </c>
      <c r="O54" s="191">
        <f t="shared" si="24"/>
        <v>0.51847067432173821</v>
      </c>
      <c r="P54" s="153">
        <f t="shared" si="25"/>
        <v>1.5906084656084658</v>
      </c>
      <c r="Q54" s="153">
        <f t="shared" si="26"/>
        <v>0.14431967265553017</v>
      </c>
      <c r="R54" s="153">
        <f t="shared" si="27"/>
        <v>0.46018276762402083</v>
      </c>
    </row>
    <row r="55" spans="3:18" x14ac:dyDescent="0.25">
      <c r="C55" s="150">
        <v>49</v>
      </c>
      <c r="D55" s="5">
        <f t="shared" si="28"/>
        <v>19.37</v>
      </c>
      <c r="E55" s="386">
        <f t="shared" si="15"/>
        <v>15.32</v>
      </c>
      <c r="F55" s="191">
        <f t="shared" si="16"/>
        <v>0.44162582876909778</v>
      </c>
      <c r="G55" s="152">
        <f t="shared" si="17"/>
        <v>2.8870736523493807</v>
      </c>
      <c r="H55" s="191">
        <f t="shared" si="18"/>
        <v>0.19247157682329205</v>
      </c>
      <c r="I55" s="386">
        <f t="shared" si="19"/>
        <v>34.69</v>
      </c>
      <c r="J55" s="152">
        <f t="shared" si="20"/>
        <v>0.38966792519633914</v>
      </c>
      <c r="K55" s="152">
        <f t="shared" si="21"/>
        <v>0.94550296769375008</v>
      </c>
      <c r="L55" s="152">
        <f t="shared" si="22"/>
        <v>1.1954564284744085</v>
      </c>
      <c r="M55" s="386">
        <f t="shared" si="14"/>
        <v>350</v>
      </c>
      <c r="N55" s="175">
        <f t="shared" si="23"/>
        <v>350</v>
      </c>
      <c r="O55" s="191">
        <f t="shared" si="24"/>
        <v>0.52001776919498022</v>
      </c>
      <c r="P55" s="153">
        <f t="shared" si="25"/>
        <v>1.5953547749454353</v>
      </c>
      <c r="Q55" s="153">
        <f t="shared" si="26"/>
        <v>0.14518224544979486</v>
      </c>
      <c r="R55" s="153">
        <f t="shared" si="27"/>
        <v>0.46018276762402083</v>
      </c>
    </row>
    <row r="56" spans="3:18" x14ac:dyDescent="0.25">
      <c r="C56" s="150">
        <v>50</v>
      </c>
      <c r="D56" s="5">
        <f t="shared" si="28"/>
        <v>19.5</v>
      </c>
      <c r="E56" s="386">
        <f t="shared" si="15"/>
        <v>15.32</v>
      </c>
      <c r="F56" s="191">
        <f t="shared" si="16"/>
        <v>0.43997702469844918</v>
      </c>
      <c r="G56" s="152">
        <f t="shared" si="17"/>
        <v>2.8955987937966685</v>
      </c>
      <c r="H56" s="191">
        <f t="shared" si="18"/>
        <v>0.19303991958644456</v>
      </c>
      <c r="I56" s="386">
        <f t="shared" si="19"/>
        <v>34.82</v>
      </c>
      <c r="J56" s="152">
        <f t="shared" si="20"/>
        <v>0.38852067572694199</v>
      </c>
      <c r="K56" s="152">
        <f t="shared" si="21"/>
        <v>0.936434449188014</v>
      </c>
      <c r="L56" s="152">
        <f t="shared" si="22"/>
        <v>1.1919367989011926</v>
      </c>
      <c r="M56" s="386">
        <f t="shared" si="14"/>
        <v>350</v>
      </c>
      <c r="N56" s="175">
        <f t="shared" si="23"/>
        <v>350</v>
      </c>
      <c r="O56" s="191">
        <f t="shared" si="24"/>
        <v>0.52155331195256904</v>
      </c>
      <c r="P56" s="153">
        <f t="shared" si="25"/>
        <v>1.6000656437187168</v>
      </c>
      <c r="Q56" s="153">
        <f t="shared" si="26"/>
        <v>0.14604091876902783</v>
      </c>
      <c r="R56" s="153">
        <f t="shared" si="27"/>
        <v>0.46018276762402083</v>
      </c>
    </row>
    <row r="57" spans="3:18" x14ac:dyDescent="0.25">
      <c r="C57" s="150">
        <v>51</v>
      </c>
      <c r="D57" s="5">
        <f t="shared" si="28"/>
        <v>19.63</v>
      </c>
      <c r="E57" s="386">
        <f t="shared" si="15"/>
        <v>15.32</v>
      </c>
      <c r="F57" s="191">
        <f t="shared" si="16"/>
        <v>0.43834048640915591</v>
      </c>
      <c r="G57" s="152">
        <f t="shared" si="17"/>
        <v>2.9040605150214587</v>
      </c>
      <c r="H57" s="191">
        <f t="shared" si="18"/>
        <v>0.19360403433476392</v>
      </c>
      <c r="I57" s="386">
        <f t="shared" si="19"/>
        <v>34.950000000000003</v>
      </c>
      <c r="J57" s="152">
        <f t="shared" si="20"/>
        <v>0.38738862161475557</v>
      </c>
      <c r="K57" s="152">
        <f t="shared" si="21"/>
        <v>0.92752242566956256</v>
      </c>
      <c r="L57" s="152">
        <f t="shared" si="22"/>
        <v>1.1884637869382186</v>
      </c>
      <c r="M57" s="386">
        <f t="shared" si="14"/>
        <v>350</v>
      </c>
      <c r="N57" s="175">
        <f t="shared" si="23"/>
        <v>350</v>
      </c>
      <c r="O57" s="191">
        <f t="shared" si="24"/>
        <v>0.52307743150223296</v>
      </c>
      <c r="P57" s="153">
        <f t="shared" si="25"/>
        <v>1.6047414674024116</v>
      </c>
      <c r="Q57" s="153">
        <f t="shared" si="26"/>
        <v>0.14689570787394612</v>
      </c>
      <c r="R57" s="153">
        <f t="shared" si="27"/>
        <v>0.46018276762402083</v>
      </c>
    </row>
    <row r="58" spans="3:18" x14ac:dyDescent="0.25">
      <c r="C58" s="150">
        <v>52</v>
      </c>
      <c r="D58" s="5">
        <f t="shared" si="28"/>
        <v>19.759999999999998</v>
      </c>
      <c r="E58" s="386">
        <f t="shared" si="15"/>
        <v>15.32</v>
      </c>
      <c r="F58" s="191">
        <f t="shared" si="16"/>
        <v>0.43671607753705816</v>
      </c>
      <c r="G58" s="152">
        <f t="shared" si="17"/>
        <v>2.9124595210946409</v>
      </c>
      <c r="H58" s="191">
        <f t="shared" si="18"/>
        <v>0.19416396807297606</v>
      </c>
      <c r="I58" s="386">
        <f t="shared" si="19"/>
        <v>35.08</v>
      </c>
      <c r="J58" s="152">
        <f t="shared" si="20"/>
        <v>0.38627146295141351</v>
      </c>
      <c r="K58" s="152">
        <f t="shared" si="21"/>
        <v>0.91876309507674259</v>
      </c>
      <c r="L58" s="152">
        <f t="shared" si="22"/>
        <v>1.1850364725010725</v>
      </c>
      <c r="M58" s="386">
        <f t="shared" si="14"/>
        <v>350</v>
      </c>
      <c r="N58" s="175">
        <f t="shared" si="23"/>
        <v>350</v>
      </c>
      <c r="O58" s="191">
        <f t="shared" si="24"/>
        <v>0.52459025484086752</v>
      </c>
      <c r="P58" s="153">
        <f t="shared" si="25"/>
        <v>1.6093826356084056</v>
      </c>
      <c r="Q58" s="153">
        <f t="shared" si="26"/>
        <v>0.14774662821629908</v>
      </c>
      <c r="R58" s="153">
        <f t="shared" si="27"/>
        <v>0.46018276762402083</v>
      </c>
    </row>
    <row r="59" spans="3:18" x14ac:dyDescent="0.25">
      <c r="C59" s="150">
        <v>53</v>
      </c>
      <c r="D59" s="5">
        <f t="shared" si="28"/>
        <v>19.89</v>
      </c>
      <c r="E59" s="386">
        <f t="shared" si="15"/>
        <v>15.32</v>
      </c>
      <c r="F59" s="191">
        <f t="shared" si="16"/>
        <v>0.43510366373189435</v>
      </c>
      <c r="G59" s="152">
        <f t="shared" si="17"/>
        <v>2.9207965066742401</v>
      </c>
      <c r="H59" s="191">
        <f t="shared" si="18"/>
        <v>0.19471976711161601</v>
      </c>
      <c r="I59" s="386">
        <f t="shared" si="19"/>
        <v>35.21</v>
      </c>
      <c r="J59" s="152">
        <f t="shared" si="20"/>
        <v>0.38516890766929163</v>
      </c>
      <c r="K59" s="152">
        <f t="shared" si="21"/>
        <v>0.91015277327585242</v>
      </c>
      <c r="L59" s="152">
        <f t="shared" si="22"/>
        <v>1.1816539595598372</v>
      </c>
      <c r="M59" s="386">
        <f t="shared" si="14"/>
        <v>350</v>
      </c>
      <c r="N59" s="175">
        <f t="shared" si="23"/>
        <v>350</v>
      </c>
      <c r="O59" s="191">
        <f t="shared" si="24"/>
        <v>0.52609190708981035</v>
      </c>
      <c r="P59" s="153">
        <f t="shared" si="25"/>
        <v>1.6139895321945876</v>
      </c>
      <c r="Q59" s="153">
        <f t="shared" si="26"/>
        <v>0.14859369542766726</v>
      </c>
      <c r="R59" s="153">
        <f t="shared" si="27"/>
        <v>0.46018276762402083</v>
      </c>
    </row>
    <row r="60" spans="3:18" x14ac:dyDescent="0.25">
      <c r="C60" s="150">
        <v>54</v>
      </c>
      <c r="D60" s="5">
        <f t="shared" si="28"/>
        <v>20.02</v>
      </c>
      <c r="E60" s="386">
        <f t="shared" si="15"/>
        <v>15.32</v>
      </c>
      <c r="F60" s="191">
        <f t="shared" si="16"/>
        <v>0.43350311262026031</v>
      </c>
      <c r="G60" s="152">
        <f t="shared" si="17"/>
        <v>2.9290721561969439</v>
      </c>
      <c r="H60" s="191">
        <f t="shared" si="18"/>
        <v>0.19527147707979625</v>
      </c>
      <c r="I60" s="386">
        <f t="shared" si="19"/>
        <v>35.340000000000003</v>
      </c>
      <c r="J60" s="152">
        <f t="shared" si="20"/>
        <v>0.38408067128693762</v>
      </c>
      <c r="K60" s="152">
        <f t="shared" si="21"/>
        <v>0.90168788963466862</v>
      </c>
      <c r="L60" s="152">
        <f t="shared" si="22"/>
        <v>1.1783153753580982</v>
      </c>
      <c r="M60" s="386">
        <f t="shared" si="14"/>
        <v>350</v>
      </c>
      <c r="N60" s="175">
        <f t="shared" si="23"/>
        <v>350</v>
      </c>
      <c r="O60" s="191">
        <f t="shared" si="24"/>
        <v>0.52758251152933811</v>
      </c>
      <c r="P60" s="153">
        <f t="shared" si="25"/>
        <v>1.6185625353706847</v>
      </c>
      <c r="Q60" s="153">
        <f t="shared" si="26"/>
        <v>0.1494369253086778</v>
      </c>
      <c r="R60" s="153">
        <f t="shared" si="27"/>
        <v>0.46018276762402083</v>
      </c>
    </row>
    <row r="61" spans="3:18" x14ac:dyDescent="0.25">
      <c r="C61" s="150">
        <v>55</v>
      </c>
      <c r="D61" s="5">
        <f t="shared" si="28"/>
        <v>20.149999999999999</v>
      </c>
      <c r="E61" s="386">
        <f t="shared" si="15"/>
        <v>15.32</v>
      </c>
      <c r="F61" s="191">
        <f t="shared" si="16"/>
        <v>0.43191429376938262</v>
      </c>
      <c r="G61" s="152">
        <f t="shared" si="17"/>
        <v>2.937287144065408</v>
      </c>
      <c r="H61" s="191">
        <f t="shared" si="18"/>
        <v>0.19581914293769387</v>
      </c>
      <c r="I61" s="386">
        <f t="shared" si="19"/>
        <v>35.47</v>
      </c>
      <c r="J61" s="152">
        <f t="shared" si="20"/>
        <v>0.38300647666435589</v>
      </c>
      <c r="K61" s="152">
        <f t="shared" si="21"/>
        <v>0.89336498279030907</v>
      </c>
      <c r="L61" s="152">
        <f t="shared" si="22"/>
        <v>1.1750198696621883</v>
      </c>
      <c r="M61" s="386">
        <f t="shared" si="14"/>
        <v>350</v>
      </c>
      <c r="N61" s="175">
        <f t="shared" si="23"/>
        <v>350</v>
      </c>
      <c r="O61" s="191">
        <f t="shared" si="24"/>
        <v>0.52906218963240492</v>
      </c>
      <c r="P61" s="153">
        <f t="shared" si="25"/>
        <v>1.6231020178017643</v>
      </c>
      <c r="Q61" s="153">
        <f t="shared" si="26"/>
        <v>0.15027633381862082</v>
      </c>
      <c r="R61" s="153">
        <f t="shared" si="27"/>
        <v>0.46018276762402083</v>
      </c>
    </row>
    <row r="62" spans="3:18" x14ac:dyDescent="0.25">
      <c r="C62" s="150">
        <v>56</v>
      </c>
      <c r="D62" s="5">
        <f t="shared" si="28"/>
        <v>20.28</v>
      </c>
      <c r="E62" s="386">
        <f t="shared" si="15"/>
        <v>15.32</v>
      </c>
      <c r="F62" s="191">
        <f t="shared" si="16"/>
        <v>0.43033707865168536</v>
      </c>
      <c r="G62" s="152">
        <f t="shared" si="17"/>
        <v>2.945442134831461</v>
      </c>
      <c r="H62" s="191">
        <f t="shared" si="18"/>
        <v>0.19636280898876407</v>
      </c>
      <c r="I62" s="386">
        <f t="shared" si="19"/>
        <v>35.6</v>
      </c>
      <c r="J62" s="152">
        <f t="shared" si="20"/>
        <v>0.38194605376770469</v>
      </c>
      <c r="K62" s="152">
        <f t="shared" si="21"/>
        <v>0.8851806966016823</v>
      </c>
      <c r="L62" s="152">
        <f t="shared" si="22"/>
        <v>1.1717666140393028</v>
      </c>
      <c r="M62" s="386">
        <f t="shared" si="14"/>
        <v>350</v>
      </c>
      <c r="N62" s="175">
        <f t="shared" si="23"/>
        <v>350</v>
      </c>
      <c r="O62" s="191">
        <f t="shared" si="24"/>
        <v>0.53053106109764014</v>
      </c>
      <c r="P62" s="153">
        <f t="shared" si="25"/>
        <v>1.6276083467094702</v>
      </c>
      <c r="Q62" s="153">
        <f t="shared" si="26"/>
        <v>0.15111193706545142</v>
      </c>
      <c r="R62" s="153">
        <f t="shared" si="27"/>
        <v>0.46018276762402083</v>
      </c>
    </row>
    <row r="63" spans="3:18" x14ac:dyDescent="0.25">
      <c r="C63" s="150">
        <v>57</v>
      </c>
      <c r="D63" s="5">
        <f t="shared" si="28"/>
        <v>20.41</v>
      </c>
      <c r="E63" s="386">
        <f t="shared" si="15"/>
        <v>15.32</v>
      </c>
      <c r="F63" s="191">
        <f t="shared" si="16"/>
        <v>0.4287713406101315</v>
      </c>
      <c r="G63" s="152">
        <f t="shared" si="17"/>
        <v>2.9535377833753147</v>
      </c>
      <c r="H63" s="191">
        <f t="shared" si="18"/>
        <v>0.19690251889168764</v>
      </c>
      <c r="I63" s="386">
        <f t="shared" si="19"/>
        <v>35.730000000000004</v>
      </c>
      <c r="J63" s="152">
        <f t="shared" si="20"/>
        <v>0.38089913944298542</v>
      </c>
      <c r="K63" s="152">
        <f t="shared" si="21"/>
        <v>0.8771317762773303</v>
      </c>
      <c r="L63" s="152">
        <f t="shared" si="22"/>
        <v>1.1685548011632059</v>
      </c>
      <c r="M63" s="386">
        <f t="shared" si="14"/>
        <v>350</v>
      </c>
      <c r="N63" s="175">
        <f t="shared" si="23"/>
        <v>350</v>
      </c>
      <c r="O63" s="191">
        <f t="shared" si="24"/>
        <v>0.53198924388162827</v>
      </c>
      <c r="P63" s="153">
        <f t="shared" si="25"/>
        <v>1.6320818839710527</v>
      </c>
      <c r="Q63" s="153">
        <f t="shared" si="26"/>
        <v>0.15194375129616614</v>
      </c>
      <c r="R63" s="153">
        <f t="shared" si="27"/>
        <v>0.46018276762402083</v>
      </c>
    </row>
    <row r="64" spans="3:18" x14ac:dyDescent="0.25">
      <c r="C64" s="150">
        <v>58</v>
      </c>
      <c r="D64" s="5">
        <f t="shared" si="28"/>
        <v>20.54</v>
      </c>
      <c r="E64" s="386">
        <f t="shared" si="15"/>
        <v>15.32</v>
      </c>
      <c r="F64" s="191">
        <f t="shared" si="16"/>
        <v>0.42721695482431682</v>
      </c>
      <c r="G64" s="152">
        <f t="shared" si="17"/>
        <v>2.9615747350808705</v>
      </c>
      <c r="H64" s="191">
        <f t="shared" si="18"/>
        <v>0.19743831567205802</v>
      </c>
      <c r="I64" s="386">
        <f t="shared" si="19"/>
        <v>35.86</v>
      </c>
      <c r="J64" s="152">
        <f t="shared" si="20"/>
        <v>0.37986547719832575</v>
      </c>
      <c r="K64" s="152">
        <f t="shared" si="21"/>
        <v>0.86921506466997622</v>
      </c>
      <c r="L64" s="152">
        <f t="shared" si="22"/>
        <v>1.1653836441462997</v>
      </c>
      <c r="M64" s="386">
        <f t="shared" si="14"/>
        <v>350</v>
      </c>
      <c r="N64" s="175">
        <f t="shared" si="23"/>
        <v>350</v>
      </c>
      <c r="O64" s="191">
        <f t="shared" si="24"/>
        <v>0.53343685423048437</v>
      </c>
      <c r="P64" s="153">
        <f t="shared" si="25"/>
        <v>1.6365229862162378</v>
      </c>
      <c r="Q64" s="153">
        <f t="shared" si="26"/>
        <v>0.15277179288753695</v>
      </c>
      <c r="R64" s="153">
        <f t="shared" si="27"/>
        <v>0.46018276762402083</v>
      </c>
    </row>
    <row r="65" spans="3:18" x14ac:dyDescent="0.25">
      <c r="C65" s="150">
        <v>59</v>
      </c>
      <c r="D65" s="5">
        <f t="shared" si="28"/>
        <v>20.67</v>
      </c>
      <c r="E65" s="386">
        <f t="shared" si="15"/>
        <v>15.32</v>
      </c>
      <c r="F65" s="191">
        <f t="shared" si="16"/>
        <v>0.42567379827729923</v>
      </c>
      <c r="G65" s="152">
        <f t="shared" si="17"/>
        <v>2.9695536260072242</v>
      </c>
      <c r="H65" s="191">
        <f t="shared" si="18"/>
        <v>0.19797024173381494</v>
      </c>
      <c r="I65" s="386">
        <f t="shared" si="19"/>
        <v>35.99</v>
      </c>
      <c r="J65" s="152">
        <f t="shared" si="20"/>
        <v>0.37884481699447953</v>
      </c>
      <c r="K65" s="152">
        <f t="shared" si="21"/>
        <v>0.86142749872958568</v>
      </c>
      <c r="L65" s="152">
        <f t="shared" si="22"/>
        <v>1.1622523758969019</v>
      </c>
      <c r="M65" s="386">
        <f t="shared" si="14"/>
        <v>350</v>
      </c>
      <c r="N65" s="175">
        <f t="shared" si="23"/>
        <v>350</v>
      </c>
      <c r="O65" s="191">
        <f t="shared" si="24"/>
        <v>0.53487400671074625</v>
      </c>
      <c r="P65" s="153">
        <f t="shared" si="25"/>
        <v>1.640932004922002</v>
      </c>
      <c r="Q65" s="153">
        <f t="shared" si="26"/>
        <v>0.1535960783371926</v>
      </c>
      <c r="R65" s="153">
        <f t="shared" si="27"/>
        <v>0.46018276762402083</v>
      </c>
    </row>
    <row r="66" spans="3:18" x14ac:dyDescent="0.25">
      <c r="C66" s="150">
        <v>60</v>
      </c>
      <c r="D66" s="5">
        <f t="shared" si="28"/>
        <v>20.8</v>
      </c>
      <c r="E66" s="386">
        <f t="shared" si="15"/>
        <v>15.32</v>
      </c>
      <c r="F66" s="191">
        <f t="shared" si="16"/>
        <v>0.424141749723145</v>
      </c>
      <c r="G66" s="152">
        <f t="shared" si="17"/>
        <v>2.9774750830564782</v>
      </c>
      <c r="H66" s="191">
        <f t="shared" si="18"/>
        <v>0.19849833887043189</v>
      </c>
      <c r="I66" s="386">
        <f t="shared" si="19"/>
        <v>36.120000000000005</v>
      </c>
      <c r="J66" s="152">
        <f t="shared" si="20"/>
        <v>0.37783691504318134</v>
      </c>
      <c r="K66" s="152">
        <f t="shared" si="21"/>
        <v>0.8537661061071885</v>
      </c>
      <c r="L66" s="152">
        <f t="shared" si="22"/>
        <v>1.1591602485006216</v>
      </c>
      <c r="M66" s="386">
        <f t="shared" si="14"/>
        <v>350</v>
      </c>
      <c r="N66" s="175">
        <f t="shared" si="23"/>
        <v>350</v>
      </c>
      <c r="O66" s="191">
        <f t="shared" si="24"/>
        <v>0.53630081423959985</v>
      </c>
      <c r="P66" s="153">
        <f t="shared" si="25"/>
        <v>1.6453092865052998</v>
      </c>
      <c r="Q66" s="153">
        <f t="shared" si="26"/>
        <v>0.1544166242550343</v>
      </c>
      <c r="R66" s="153">
        <f t="shared" si="27"/>
        <v>0.46018276762402083</v>
      </c>
    </row>
    <row r="67" spans="3:18" x14ac:dyDescent="0.25">
      <c r="C67" s="150">
        <v>61</v>
      </c>
      <c r="D67" s="5">
        <f t="shared" si="28"/>
        <v>20.93</v>
      </c>
      <c r="E67" s="386">
        <f t="shared" si="15"/>
        <v>15.32</v>
      </c>
      <c r="F67" s="191">
        <f t="shared" si="16"/>
        <v>0.42262068965517241</v>
      </c>
      <c r="G67" s="152">
        <f t="shared" si="17"/>
        <v>2.9853397241379311</v>
      </c>
      <c r="H67" s="191">
        <f t="shared" si="18"/>
        <v>0.19902264827586208</v>
      </c>
      <c r="I67" s="386">
        <f t="shared" si="19"/>
        <v>36.25</v>
      </c>
      <c r="J67" s="152">
        <f t="shared" si="20"/>
        <v>0.37684153361301731</v>
      </c>
      <c r="K67" s="152">
        <f t="shared" si="21"/>
        <v>0.84622800190214109</v>
      </c>
      <c r="L67" s="152">
        <f t="shared" si="22"/>
        <v>1.1561065326247919</v>
      </c>
      <c r="M67" s="386">
        <f t="shared" si="14"/>
        <v>350</v>
      </c>
      <c r="N67" s="175">
        <f t="shared" si="23"/>
        <v>350</v>
      </c>
      <c r="O67" s="191">
        <f t="shared" si="24"/>
        <v>0.53771738811445347</v>
      </c>
      <c r="P67" s="153">
        <f t="shared" si="25"/>
        <v>1.6496551724137931</v>
      </c>
      <c r="Q67" s="153">
        <f t="shared" si="26"/>
        <v>0.15523344735497258</v>
      </c>
      <c r="R67" s="153">
        <f t="shared" si="27"/>
        <v>0.46018276762402083</v>
      </c>
    </row>
    <row r="68" spans="3:18" x14ac:dyDescent="0.25">
      <c r="C68" s="150">
        <v>62</v>
      </c>
      <c r="D68" s="5">
        <f t="shared" si="28"/>
        <v>21.060000000000002</v>
      </c>
      <c r="E68" s="386">
        <f t="shared" si="15"/>
        <v>15.32</v>
      </c>
      <c r="F68" s="191">
        <f t="shared" si="16"/>
        <v>0.42111050027487629</v>
      </c>
      <c r="G68" s="152">
        <f t="shared" si="17"/>
        <v>2.9931481583287525</v>
      </c>
      <c r="H68" s="191">
        <f t="shared" si="18"/>
        <v>0.19954321055525018</v>
      </c>
      <c r="I68" s="386">
        <f t="shared" si="19"/>
        <v>36.380000000000003</v>
      </c>
      <c r="J68" s="152">
        <f t="shared" si="20"/>
        <v>0.37585844084248488</v>
      </c>
      <c r="K68" s="152">
        <f t="shared" si="21"/>
        <v>0.83881038554590626</v>
      </c>
      <c r="L68" s="152">
        <f t="shared" si="22"/>
        <v>1.1530905169449601</v>
      </c>
      <c r="M68" s="386">
        <f t="shared" si="14"/>
        <v>350</v>
      </c>
      <c r="N68" s="175">
        <f t="shared" si="23"/>
        <v>350</v>
      </c>
      <c r="O68" s="191">
        <f t="shared" si="24"/>
        <v>0.53912383804187824</v>
      </c>
      <c r="P68" s="153">
        <f t="shared" si="25"/>
        <v>1.6539699992146395</v>
      </c>
      <c r="Q68" s="153">
        <f t="shared" si="26"/>
        <v>0.15604656444697579</v>
      </c>
      <c r="R68" s="153">
        <f t="shared" si="27"/>
        <v>0.46018276762402083</v>
      </c>
    </row>
    <row r="69" spans="3:18" x14ac:dyDescent="0.25">
      <c r="C69" s="150">
        <v>63</v>
      </c>
      <c r="D69" s="5">
        <f t="shared" si="28"/>
        <v>21.189999999999998</v>
      </c>
      <c r="E69" s="386">
        <f t="shared" si="15"/>
        <v>15.32</v>
      </c>
      <c r="F69" s="191">
        <f t="shared" si="16"/>
        <v>0.41961106546151744</v>
      </c>
      <c r="G69" s="152">
        <f t="shared" si="17"/>
        <v>3.0009009860312243</v>
      </c>
      <c r="H69" s="191">
        <f t="shared" si="18"/>
        <v>0.20006006573541496</v>
      </c>
      <c r="I69" s="386">
        <f t="shared" si="19"/>
        <v>36.51</v>
      </c>
      <c r="J69" s="152">
        <f t="shared" si="20"/>
        <v>0.37488741055993452</v>
      </c>
      <c r="K69" s="152">
        <f t="shared" si="21"/>
        <v>0.83151053781580575</v>
      </c>
      <c r="L69" s="152">
        <f t="shared" si="22"/>
        <v>1.1501115075924881</v>
      </c>
      <c r="M69" s="386">
        <f t="shared" si="14"/>
        <v>350</v>
      </c>
      <c r="N69" s="175">
        <f t="shared" si="23"/>
        <v>350</v>
      </c>
      <c r="O69" s="191">
        <f t="shared" si="24"/>
        <v>0.54052027216593035</v>
      </c>
      <c r="P69" s="153">
        <f t="shared" si="25"/>
        <v>1.658254098681379</v>
      </c>
      <c r="Q69" s="153">
        <f t="shared" si="26"/>
        <v>0.15685599242941747</v>
      </c>
      <c r="R69" s="153">
        <f t="shared" si="27"/>
        <v>0.46018276762402083</v>
      </c>
    </row>
    <row r="70" spans="3:18" x14ac:dyDescent="0.25">
      <c r="C70" s="150">
        <v>64</v>
      </c>
      <c r="D70" s="5">
        <f t="shared" si="28"/>
        <v>21.32</v>
      </c>
      <c r="E70" s="386">
        <f t="shared" ref="E70:E106" si="29">(Vout+Vfwd1)*Nps</f>
        <v>15.32</v>
      </c>
      <c r="F70" s="191">
        <f t="shared" ref="F70:F106" si="30">(Vout+Vfwd1)*Nps/((Vout+Vfwd1)*Nps+D70)</f>
        <v>0.41812227074235808</v>
      </c>
      <c r="G70" s="152">
        <f t="shared" ref="G70:G101" si="31">F70*D70*Isw_max*0.5*Efficiency</f>
        <v>3.0085987991266379</v>
      </c>
      <c r="H70" s="191">
        <f t="shared" ref="H70:H101" si="32">G70/Vout</f>
        <v>0.20057325327510919</v>
      </c>
      <c r="I70" s="386">
        <f t="shared" ref="I70:I106" si="33">(Vout+Vfwd1)*Nps+D70</f>
        <v>36.64</v>
      </c>
      <c r="J70" s="152">
        <f t="shared" ref="J70:J106" si="34">MIN(2*Vout*Iout/(Efficiency*D70*F70), 1.35)</f>
        <v>0.37392822211009819</v>
      </c>
      <c r="K70" s="152">
        <f t="shared" ref="K70:K101" si="35">L*J70/D70*1000000</f>
        <v>0.82432581797254278</v>
      </c>
      <c r="L70" s="152">
        <f t="shared" ref="L70:L106" si="36">L*J70/((Vout+Vfwd1)*Nps)*1000000</f>
        <v>1.1471688276223637</v>
      </c>
      <c r="M70" s="386">
        <f t="shared" si="14"/>
        <v>350</v>
      </c>
      <c r="N70" s="175">
        <f t="shared" ref="N70:N106" si="37">IF(1/((350000*L)*(1/D70+1/E70))&gt;Isw_min, 350, 0.001/((Isw_min*L)*(1/D70+1/E70)))</f>
        <v>350</v>
      </c>
      <c r="O70" s="191">
        <f t="shared" ref="O70:O101" si="38">1/((N70*1000*L)*(1/D70+1/E70))</f>
        <v>0.54190679709587086</v>
      </c>
      <c r="P70" s="153">
        <f t="shared" ref="P70:P101" si="39">L*O70/E70*1000000</f>
        <v>1.6625077978789771</v>
      </c>
      <c r="Q70" s="153">
        <f t="shared" ref="Q70:Q101" si="40">0.5*P70*O70*Nps*N70/1000</f>
        <v>0.15766174828171353</v>
      </c>
      <c r="R70" s="153">
        <f t="shared" ref="R70:R106" si="41">L*Isw_min/E70*1000000</f>
        <v>0.46018276762402083</v>
      </c>
    </row>
    <row r="71" spans="3:18" x14ac:dyDescent="0.25">
      <c r="C71" s="150">
        <v>65</v>
      </c>
      <c r="D71" s="5">
        <f t="shared" ref="D71:D102" si="42">C71/100*(VIN_max-VIN_min)+VIN_min</f>
        <v>21.450000000000003</v>
      </c>
      <c r="E71" s="386">
        <f t="shared" si="29"/>
        <v>15.32</v>
      </c>
      <c r="F71" s="191">
        <f t="shared" si="30"/>
        <v>0.41664400326353002</v>
      </c>
      <c r="G71" s="152">
        <f t="shared" si="31"/>
        <v>3.0162421811259184</v>
      </c>
      <c r="H71" s="191">
        <f t="shared" si="32"/>
        <v>0.20108281207506123</v>
      </c>
      <c r="I71" s="386">
        <f t="shared" si="33"/>
        <v>36.770000000000003</v>
      </c>
      <c r="J71" s="152">
        <f t="shared" si="34"/>
        <v>0.37298066018692644</v>
      </c>
      <c r="K71" s="152">
        <f t="shared" si="35"/>
        <v>0.8172536610156429</v>
      </c>
      <c r="L71" s="152">
        <f t="shared" si="36"/>
        <v>1.1442618165003617</v>
      </c>
      <c r="M71" s="386">
        <f t="shared" ref="M71:M106" si="43">MIN(1/(K71+L71)*1000, 350)</f>
        <v>350</v>
      </c>
      <c r="N71" s="175">
        <f t="shared" si="37"/>
        <v>350</v>
      </c>
      <c r="O71" s="191">
        <f t="shared" si="38"/>
        <v>0.54328351793329599</v>
      </c>
      <c r="P71" s="153">
        <f t="shared" si="39"/>
        <v>1.6667314192470566</v>
      </c>
      <c r="Q71" s="153">
        <f t="shared" si="40"/>
        <v>0.15846384905723684</v>
      </c>
      <c r="R71" s="153">
        <f t="shared" si="41"/>
        <v>0.46018276762402083</v>
      </c>
    </row>
    <row r="72" spans="3:18" x14ac:dyDescent="0.25">
      <c r="C72" s="150">
        <v>66</v>
      </c>
      <c r="D72" s="5">
        <f t="shared" si="42"/>
        <v>21.58</v>
      </c>
      <c r="E72" s="386">
        <f t="shared" si="29"/>
        <v>15.32</v>
      </c>
      <c r="F72" s="191">
        <f t="shared" si="30"/>
        <v>0.41517615176151762</v>
      </c>
      <c r="G72" s="152">
        <f t="shared" si="31"/>
        <v>3.0238317073170724</v>
      </c>
      <c r="H72" s="191">
        <f t="shared" si="32"/>
        <v>0.20158878048780482</v>
      </c>
      <c r="I72" s="386">
        <f t="shared" si="33"/>
        <v>36.9</v>
      </c>
      <c r="J72" s="152">
        <f t="shared" si="34"/>
        <v>0.37204451467246774</v>
      </c>
      <c r="K72" s="152">
        <f t="shared" si="35"/>
        <v>0.81029157505125049</v>
      </c>
      <c r="L72" s="152">
        <f t="shared" si="36"/>
        <v>1.1413898296087457</v>
      </c>
      <c r="M72" s="386">
        <f t="shared" si="43"/>
        <v>350</v>
      </c>
      <c r="N72" s="175">
        <f t="shared" si="37"/>
        <v>350</v>
      </c>
      <c r="O72" s="191">
        <f t="shared" si="38"/>
        <v>0.54465053829869603</v>
      </c>
      <c r="P72" s="153">
        <f t="shared" si="39"/>
        <v>1.6709252806813781</v>
      </c>
      <c r="Q72" s="153">
        <f t="shared" si="40"/>
        <v>0.15926231187650217</v>
      </c>
      <c r="R72" s="153">
        <f t="shared" si="41"/>
        <v>0.46018276762402083</v>
      </c>
    </row>
    <row r="73" spans="3:18" x14ac:dyDescent="0.25">
      <c r="C73" s="150">
        <v>67</v>
      </c>
      <c r="D73" s="5">
        <f t="shared" si="42"/>
        <v>21.71</v>
      </c>
      <c r="E73" s="386">
        <f t="shared" si="29"/>
        <v>15.32</v>
      </c>
      <c r="F73" s="191">
        <f t="shared" si="30"/>
        <v>0.41371860653524167</v>
      </c>
      <c r="G73" s="152">
        <f t="shared" si="31"/>
        <v>3.0313679449095323</v>
      </c>
      <c r="H73" s="191">
        <f t="shared" si="32"/>
        <v>0.20209119632730216</v>
      </c>
      <c r="I73" s="386">
        <f t="shared" si="33"/>
        <v>37.03</v>
      </c>
      <c r="J73" s="152">
        <f t="shared" si="34"/>
        <v>0.37111958048153548</v>
      </c>
      <c r="K73" s="152">
        <f t="shared" si="35"/>
        <v>0.80343713876702749</v>
      </c>
      <c r="L73" s="152">
        <f t="shared" si="36"/>
        <v>1.1385522377697237</v>
      </c>
      <c r="M73" s="386">
        <f t="shared" si="43"/>
        <v>350</v>
      </c>
      <c r="N73" s="175">
        <f t="shared" si="37"/>
        <v>350</v>
      </c>
      <c r="O73" s="191">
        <f t="shared" si="38"/>
        <v>0.5460079603574528</v>
      </c>
      <c r="P73" s="153">
        <f t="shared" si="39"/>
        <v>1.6750896956135952</v>
      </c>
      <c r="Q73" s="153">
        <f t="shared" si="40"/>
        <v>0.16005715392060899</v>
      </c>
      <c r="R73" s="153">
        <f t="shared" si="41"/>
        <v>0.46018276762402083</v>
      </c>
    </row>
    <row r="74" spans="3:18" x14ac:dyDescent="0.25">
      <c r="C74" s="150">
        <v>68</v>
      </c>
      <c r="D74" s="5">
        <f t="shared" si="42"/>
        <v>21.84</v>
      </c>
      <c r="E74" s="386">
        <f t="shared" si="29"/>
        <v>15.32</v>
      </c>
      <c r="F74" s="191">
        <f t="shared" si="30"/>
        <v>0.41227125941872989</v>
      </c>
      <c r="G74" s="152">
        <f t="shared" si="31"/>
        <v>3.0388514531754587</v>
      </c>
      <c r="H74" s="191">
        <f t="shared" si="32"/>
        <v>0.20259009687836391</v>
      </c>
      <c r="I74" s="386">
        <f t="shared" si="33"/>
        <v>37.159999999999997</v>
      </c>
      <c r="J74" s="152">
        <f t="shared" si="34"/>
        <v>0.37020565741192368</v>
      </c>
      <c r="K74" s="152">
        <f t="shared" si="35"/>
        <v>0.79668799900917642</v>
      </c>
      <c r="L74" s="152">
        <f t="shared" si="36"/>
        <v>1.1357484267859277</v>
      </c>
      <c r="M74" s="386">
        <f t="shared" si="43"/>
        <v>350</v>
      </c>
      <c r="N74" s="175">
        <f t="shared" si="37"/>
        <v>350</v>
      </c>
      <c r="O74" s="191">
        <f t="shared" si="38"/>
        <v>0.54735588484529241</v>
      </c>
      <c r="P74" s="153">
        <f t="shared" si="39"/>
        <v>1.6792249730893436</v>
      </c>
      <c r="Q74" s="153">
        <f t="shared" si="40"/>
        <v>0.16084839242493523</v>
      </c>
      <c r="R74" s="153">
        <f t="shared" si="41"/>
        <v>0.46018276762402083</v>
      </c>
    </row>
    <row r="75" spans="3:18" x14ac:dyDescent="0.25">
      <c r="C75" s="150">
        <v>69</v>
      </c>
      <c r="D75" s="5">
        <f t="shared" si="42"/>
        <v>21.97</v>
      </c>
      <c r="E75" s="386">
        <f t="shared" si="29"/>
        <v>15.32</v>
      </c>
      <c r="F75" s="191">
        <f t="shared" si="30"/>
        <v>0.41083400375435775</v>
      </c>
      <c r="G75" s="152">
        <f t="shared" si="31"/>
        <v>3.0462827835880928</v>
      </c>
      <c r="H75" s="191">
        <f t="shared" si="32"/>
        <v>0.20308551890587284</v>
      </c>
      <c r="I75" s="386">
        <f t="shared" si="33"/>
        <v>37.29</v>
      </c>
      <c r="J75" s="152">
        <f t="shared" si="34"/>
        <v>0.36930254999994055</v>
      </c>
      <c r="K75" s="152">
        <f t="shared" si="35"/>
        <v>0.79004186845685975</v>
      </c>
      <c r="L75" s="152">
        <f t="shared" si="36"/>
        <v>1.1329777969972068</v>
      </c>
      <c r="M75" s="386">
        <f t="shared" si="43"/>
        <v>350</v>
      </c>
      <c r="N75" s="175">
        <f t="shared" si="37"/>
        <v>350</v>
      </c>
      <c r="O75" s="191">
        <f t="shared" si="38"/>
        <v>0.54869441109320616</v>
      </c>
      <c r="P75" s="153">
        <f t="shared" si="39"/>
        <v>1.6833314178446923</v>
      </c>
      <c r="Q75" s="153">
        <f t="shared" si="40"/>
        <v>0.16163604467307241</v>
      </c>
      <c r="R75" s="153">
        <f t="shared" si="41"/>
        <v>0.46018276762402083</v>
      </c>
    </row>
    <row r="76" spans="3:18" x14ac:dyDescent="0.25">
      <c r="C76" s="150">
        <v>70</v>
      </c>
      <c r="D76" s="5">
        <f t="shared" si="42"/>
        <v>22.1</v>
      </c>
      <c r="E76" s="386">
        <f t="shared" si="29"/>
        <v>15.32</v>
      </c>
      <c r="F76" s="191">
        <f t="shared" si="30"/>
        <v>0.40940673436664882</v>
      </c>
      <c r="G76" s="152">
        <f t="shared" si="31"/>
        <v>3.0536624799572425</v>
      </c>
      <c r="H76" s="191">
        <f t="shared" si="32"/>
        <v>0.20357749866381616</v>
      </c>
      <c r="I76" s="386">
        <f t="shared" si="33"/>
        <v>37.42</v>
      </c>
      <c r="J76" s="152">
        <f t="shared" si="34"/>
        <v>0.3684100673810396</v>
      </c>
      <c r="K76" s="152">
        <f t="shared" si="35"/>
        <v>0.78349652338954123</v>
      </c>
      <c r="L76" s="152">
        <f t="shared" si="36"/>
        <v>1.1302397628530587</v>
      </c>
      <c r="M76" s="386">
        <f t="shared" si="43"/>
        <v>350</v>
      </c>
      <c r="N76" s="175">
        <f t="shared" si="37"/>
        <v>350</v>
      </c>
      <c r="O76" s="191">
        <f t="shared" si="38"/>
        <v>0.55002363705185042</v>
      </c>
      <c r="P76" s="153">
        <f t="shared" si="39"/>
        <v>1.6874093303810032</v>
      </c>
      <c r="Q76" s="153">
        <f t="shared" si="40"/>
        <v>0.1624201279909927</v>
      </c>
      <c r="R76" s="153">
        <f t="shared" si="41"/>
        <v>0.46018276762402083</v>
      </c>
    </row>
    <row r="77" spans="3:18" x14ac:dyDescent="0.25">
      <c r="C77" s="150">
        <v>71</v>
      </c>
      <c r="D77" s="5">
        <f t="shared" si="42"/>
        <v>22.23</v>
      </c>
      <c r="E77" s="386">
        <f t="shared" si="29"/>
        <v>15.32</v>
      </c>
      <c r="F77" s="191">
        <f t="shared" si="30"/>
        <v>0.40798934753661786</v>
      </c>
      <c r="G77" s="152">
        <f t="shared" si="31"/>
        <v>3.0609910785619179</v>
      </c>
      <c r="H77" s="191">
        <f t="shared" si="32"/>
        <v>0.20406607190412787</v>
      </c>
      <c r="I77" s="386">
        <f t="shared" si="33"/>
        <v>37.549999999999997</v>
      </c>
      <c r="J77" s="152">
        <f t="shared" si="34"/>
        <v>0.36752802315534205</v>
      </c>
      <c r="K77" s="152">
        <f t="shared" si="35"/>
        <v>0.77704980154300829</v>
      </c>
      <c r="L77" s="152">
        <f t="shared" si="36"/>
        <v>1.1275337525000702</v>
      </c>
      <c r="M77" s="386">
        <f t="shared" si="43"/>
        <v>350</v>
      </c>
      <c r="N77" s="175">
        <f t="shared" si="37"/>
        <v>350</v>
      </c>
      <c r="O77" s="191">
        <f t="shared" si="38"/>
        <v>0.5513436593154416</v>
      </c>
      <c r="P77" s="153">
        <f t="shared" si="39"/>
        <v>1.6914590070382345</v>
      </c>
      <c r="Q77" s="153">
        <f t="shared" si="40"/>
        <v>0.1632006597414416</v>
      </c>
      <c r="R77" s="153">
        <f t="shared" si="41"/>
        <v>0.46018276762402083</v>
      </c>
    </row>
    <row r="78" spans="3:18" x14ac:dyDescent="0.25">
      <c r="C78" s="150">
        <v>72</v>
      </c>
      <c r="D78" s="5">
        <f t="shared" si="42"/>
        <v>22.36</v>
      </c>
      <c r="E78" s="386">
        <f t="shared" si="29"/>
        <v>15.32</v>
      </c>
      <c r="F78" s="191">
        <f t="shared" si="30"/>
        <v>0.40658174097664546</v>
      </c>
      <c r="G78" s="152">
        <f t="shared" si="31"/>
        <v>3.0682691082802549</v>
      </c>
      <c r="H78" s="191">
        <f t="shared" si="32"/>
        <v>0.20455127388535033</v>
      </c>
      <c r="I78" s="386">
        <f t="shared" si="33"/>
        <v>37.68</v>
      </c>
      <c r="J78" s="152">
        <f t="shared" si="34"/>
        <v>0.3666562352578504</v>
      </c>
      <c r="K78" s="152">
        <f t="shared" si="35"/>
        <v>0.77069960005004334</v>
      </c>
      <c r="L78" s="152">
        <f t="shared" si="36"/>
        <v>1.1248592073837447</v>
      </c>
      <c r="M78" s="386">
        <f t="shared" si="43"/>
        <v>350</v>
      </c>
      <c r="N78" s="175">
        <f t="shared" si="37"/>
        <v>350</v>
      </c>
      <c r="O78" s="191">
        <f t="shared" si="38"/>
        <v>0.55265457314515465</v>
      </c>
      <c r="P78" s="153">
        <f t="shared" si="39"/>
        <v>1.6954807400667278</v>
      </c>
      <c r="Q78" s="153">
        <f t="shared" si="40"/>
        <v>0.16397765731854644</v>
      </c>
      <c r="R78" s="153">
        <f t="shared" si="41"/>
        <v>0.46018276762402083</v>
      </c>
    </row>
    <row r="79" spans="3:18" x14ac:dyDescent="0.25">
      <c r="C79" s="150">
        <v>73</v>
      </c>
      <c r="D79" s="5">
        <f t="shared" si="42"/>
        <v>22.490000000000002</v>
      </c>
      <c r="E79" s="386">
        <f t="shared" si="29"/>
        <v>15.32</v>
      </c>
      <c r="F79" s="191">
        <f t="shared" si="30"/>
        <v>0.40518381380587143</v>
      </c>
      <c r="G79" s="152">
        <f t="shared" si="31"/>
        <v>3.0754970907167412</v>
      </c>
      <c r="H79" s="191">
        <f t="shared" si="32"/>
        <v>0.20503313938111609</v>
      </c>
      <c r="I79" s="386">
        <f t="shared" si="33"/>
        <v>37.81</v>
      </c>
      <c r="J79" s="152">
        <f t="shared" si="34"/>
        <v>0.36579452583316202</v>
      </c>
      <c r="K79" s="152">
        <f t="shared" si="35"/>
        <v>0.76444387346192144</v>
      </c>
      <c r="L79" s="152">
        <f t="shared" si="36"/>
        <v>1.1222155818641393</v>
      </c>
      <c r="M79" s="386">
        <f t="shared" si="43"/>
        <v>350</v>
      </c>
      <c r="N79" s="175">
        <f t="shared" si="37"/>
        <v>350</v>
      </c>
      <c r="O79" s="191">
        <f t="shared" si="38"/>
        <v>0.55395647249203961</v>
      </c>
      <c r="P79" s="153">
        <f t="shared" si="39"/>
        <v>1.6994748176975105</v>
      </c>
      <c r="Q79" s="153">
        <f t="shared" si="40"/>
        <v>0.16475113814263387</v>
      </c>
      <c r="R79" s="153">
        <f t="shared" si="41"/>
        <v>0.46018276762402083</v>
      </c>
    </row>
    <row r="80" spans="3:18" x14ac:dyDescent="0.25">
      <c r="C80" s="150">
        <v>74</v>
      </c>
      <c r="D80" s="5">
        <f t="shared" si="42"/>
        <v>22.619999999999997</v>
      </c>
      <c r="E80" s="386">
        <f t="shared" si="29"/>
        <v>15.32</v>
      </c>
      <c r="F80" s="191">
        <f t="shared" si="30"/>
        <v>0.40379546652609388</v>
      </c>
      <c r="G80" s="152">
        <f t="shared" si="31"/>
        <v>3.0826755403268318</v>
      </c>
      <c r="H80" s="191">
        <f t="shared" si="32"/>
        <v>0.20551170268845545</v>
      </c>
      <c r="I80" s="386">
        <f t="shared" si="33"/>
        <v>37.94</v>
      </c>
      <c r="J80" s="152">
        <f t="shared" si="34"/>
        <v>0.36494272111450465</v>
      </c>
      <c r="K80" s="152">
        <f t="shared" si="35"/>
        <v>0.75828063184711403</v>
      </c>
      <c r="L80" s="152">
        <f t="shared" si="36"/>
        <v>1.1196023428447597</v>
      </c>
      <c r="M80" s="386">
        <f t="shared" si="43"/>
        <v>350</v>
      </c>
      <c r="N80" s="175">
        <f t="shared" si="37"/>
        <v>350</v>
      </c>
      <c r="O80" s="191">
        <f t="shared" si="38"/>
        <v>0.55524945001946779</v>
      </c>
      <c r="P80" s="153">
        <f t="shared" si="39"/>
        <v>1.7034415242111607</v>
      </c>
      <c r="Q80" s="153">
        <f t="shared" si="40"/>
        <v>0.16552111965524993</v>
      </c>
      <c r="R80" s="153">
        <f t="shared" si="41"/>
        <v>0.46018276762402083</v>
      </c>
    </row>
    <row r="81" spans="3:18" x14ac:dyDescent="0.25">
      <c r="C81" s="150">
        <v>75</v>
      </c>
      <c r="D81" s="5">
        <f t="shared" si="42"/>
        <v>22.75</v>
      </c>
      <c r="E81" s="386">
        <f t="shared" si="29"/>
        <v>15.32</v>
      </c>
      <c r="F81" s="191">
        <f t="shared" si="30"/>
        <v>0.40241660099816129</v>
      </c>
      <c r="G81" s="152">
        <f t="shared" si="31"/>
        <v>3.0898049645390069</v>
      </c>
      <c r="H81" s="191">
        <f t="shared" si="32"/>
        <v>0.20598699763593378</v>
      </c>
      <c r="I81" s="386">
        <f t="shared" si="33"/>
        <v>38.07</v>
      </c>
      <c r="J81" s="152">
        <f t="shared" si="34"/>
        <v>0.3641006513069176</v>
      </c>
      <c r="K81" s="152">
        <f t="shared" si="35"/>
        <v>0.75220793896374183</v>
      </c>
      <c r="L81" s="152">
        <f t="shared" si="36"/>
        <v>1.1170189694141728</v>
      </c>
      <c r="M81" s="386">
        <f t="shared" si="43"/>
        <v>350</v>
      </c>
      <c r="N81" s="175">
        <f t="shared" si="37"/>
        <v>350</v>
      </c>
      <c r="O81" s="191">
        <f t="shared" si="38"/>
        <v>0.55653359712511674</v>
      </c>
      <c r="P81" s="153">
        <f t="shared" si="39"/>
        <v>1.7073811400052534</v>
      </c>
      <c r="Q81" s="153">
        <f t="shared" si="40"/>
        <v>0.16628761931437358</v>
      </c>
      <c r="R81" s="153">
        <f t="shared" si="41"/>
        <v>0.46018276762402083</v>
      </c>
    </row>
    <row r="82" spans="3:18" x14ac:dyDescent="0.25">
      <c r="C82" s="150">
        <v>76</v>
      </c>
      <c r="D82" s="5">
        <f t="shared" si="42"/>
        <v>22.880000000000003</v>
      </c>
      <c r="E82" s="386">
        <f t="shared" si="29"/>
        <v>15.32</v>
      </c>
      <c r="F82" s="191">
        <f t="shared" si="30"/>
        <v>0.40104712041884816</v>
      </c>
      <c r="G82" s="152">
        <f t="shared" si="31"/>
        <v>3.0968858638743457</v>
      </c>
      <c r="H82" s="191">
        <f t="shared" si="32"/>
        <v>0.20645905759162306</v>
      </c>
      <c r="I82" s="386">
        <f t="shared" si="33"/>
        <v>38.200000000000003</v>
      </c>
      <c r="J82" s="152">
        <f t="shared" si="34"/>
        <v>0.36326815047441674</v>
      </c>
      <c r="K82" s="152">
        <f t="shared" si="35"/>
        <v>0.7462239105025168</v>
      </c>
      <c r="L82" s="152">
        <f t="shared" si="36"/>
        <v>1.1144649524998425</v>
      </c>
      <c r="M82" s="386">
        <f t="shared" si="43"/>
        <v>350</v>
      </c>
      <c r="N82" s="175">
        <f t="shared" si="37"/>
        <v>350</v>
      </c>
      <c r="O82" s="191">
        <f t="shared" si="38"/>
        <v>0.55780900396250743</v>
      </c>
      <c r="P82" s="153">
        <f t="shared" si="39"/>
        <v>1.7112939416604338</v>
      </c>
      <c r="Q82" s="153">
        <f t="shared" si="40"/>
        <v>0.16705065458981896</v>
      </c>
      <c r="R82" s="153">
        <f t="shared" si="41"/>
        <v>0.46018276762402083</v>
      </c>
    </row>
    <row r="83" spans="3:18" x14ac:dyDescent="0.25">
      <c r="C83" s="150">
        <v>77</v>
      </c>
      <c r="D83" s="5">
        <f t="shared" si="42"/>
        <v>23.009999999999998</v>
      </c>
      <c r="E83" s="386">
        <f t="shared" si="29"/>
        <v>15.32</v>
      </c>
      <c r="F83" s="191">
        <f t="shared" si="30"/>
        <v>0.39968692929819988</v>
      </c>
      <c r="G83" s="152">
        <f t="shared" si="31"/>
        <v>3.1039187320636574</v>
      </c>
      <c r="H83" s="191">
        <f t="shared" si="32"/>
        <v>0.2069279154709105</v>
      </c>
      <c r="I83" s="386">
        <f t="shared" si="33"/>
        <v>38.33</v>
      </c>
      <c r="J83" s="152">
        <f t="shared" si="34"/>
        <v>0.36244505643098374</v>
      </c>
      <c r="K83" s="152">
        <f t="shared" si="35"/>
        <v>0.74032671239705505</v>
      </c>
      <c r="L83" s="152">
        <f t="shared" si="36"/>
        <v>1.1119397945336968</v>
      </c>
      <c r="M83" s="386">
        <f t="shared" si="43"/>
        <v>350</v>
      </c>
      <c r="N83" s="175">
        <f t="shared" si="37"/>
        <v>350</v>
      </c>
      <c r="O83" s="191">
        <f t="shared" si="38"/>
        <v>0.55907575946210208</v>
      </c>
      <c r="P83" s="153">
        <f t="shared" si="39"/>
        <v>1.7151802020051434</v>
      </c>
      <c r="Q83" s="153">
        <f t="shared" si="40"/>
        <v>0.16781024295881777</v>
      </c>
      <c r="R83" s="153">
        <f t="shared" si="41"/>
        <v>0.46018276762402083</v>
      </c>
    </row>
    <row r="84" spans="3:18" x14ac:dyDescent="0.25">
      <c r="C84" s="150">
        <v>78</v>
      </c>
      <c r="D84" s="5">
        <f t="shared" si="42"/>
        <v>23.14</v>
      </c>
      <c r="E84" s="386">
        <f t="shared" si="29"/>
        <v>15.32</v>
      </c>
      <c r="F84" s="191">
        <f t="shared" si="30"/>
        <v>0.39833593343733747</v>
      </c>
      <c r="G84" s="152">
        <f t="shared" si="31"/>
        <v>3.1109040561622465</v>
      </c>
      <c r="H84" s="191">
        <f t="shared" si="32"/>
        <v>0.20739360374414978</v>
      </c>
      <c r="I84" s="386">
        <f t="shared" si="33"/>
        <v>38.46</v>
      </c>
      <c r="J84" s="152">
        <f t="shared" si="34"/>
        <v>0.36163121063522974</v>
      </c>
      <c r="K84" s="152">
        <f t="shared" si="35"/>
        <v>0.73451455919860831</v>
      </c>
      <c r="L84" s="152">
        <f t="shared" si="36"/>
        <v>1.1094430091289684</v>
      </c>
      <c r="M84" s="386">
        <f t="shared" si="43"/>
        <v>350</v>
      </c>
      <c r="N84" s="175">
        <f t="shared" si="37"/>
        <v>350</v>
      </c>
      <c r="O84" s="191">
        <f t="shared" si="38"/>
        <v>0.56033395135197506</v>
      </c>
      <c r="P84" s="153">
        <f t="shared" si="39"/>
        <v>1.7190401901790358</v>
      </c>
      <c r="Q84" s="153">
        <f t="shared" si="40"/>
        <v>0.16856640190177719</v>
      </c>
      <c r="R84" s="153">
        <f t="shared" si="41"/>
        <v>0.46018276762402083</v>
      </c>
    </row>
    <row r="85" spans="3:18" x14ac:dyDescent="0.25">
      <c r="C85" s="150">
        <v>79</v>
      </c>
      <c r="D85" s="5">
        <f t="shared" si="42"/>
        <v>23.27</v>
      </c>
      <c r="E85" s="386">
        <f t="shared" si="29"/>
        <v>15.32</v>
      </c>
      <c r="F85" s="191">
        <f t="shared" si="30"/>
        <v>0.39699403990671156</v>
      </c>
      <c r="G85" s="152">
        <f t="shared" si="31"/>
        <v>3.1178423166623475</v>
      </c>
      <c r="H85" s="191">
        <f t="shared" si="32"/>
        <v>0.2078561544441565</v>
      </c>
      <c r="I85" s="386">
        <f t="shared" si="33"/>
        <v>38.590000000000003</v>
      </c>
      <c r="J85" s="152">
        <f t="shared" si="34"/>
        <v>0.36082645808859032</v>
      </c>
      <c r="K85" s="152">
        <f t="shared" si="35"/>
        <v>0.72878571251240842</v>
      </c>
      <c r="L85" s="152">
        <f t="shared" si="36"/>
        <v>1.1069741207678685</v>
      </c>
      <c r="M85" s="386">
        <f t="shared" si="43"/>
        <v>350</v>
      </c>
      <c r="N85" s="175">
        <f t="shared" si="37"/>
        <v>350</v>
      </c>
      <c r="O85" s="191">
        <f t="shared" si="38"/>
        <v>0.56158366617806565</v>
      </c>
      <c r="P85" s="153">
        <f t="shared" si="39"/>
        <v>1.7228741716951099</v>
      </c>
      <c r="Q85" s="153">
        <f t="shared" si="40"/>
        <v>0.16931914889820665</v>
      </c>
      <c r="R85" s="153">
        <f t="shared" si="41"/>
        <v>0.46018276762402083</v>
      </c>
    </row>
    <row r="86" spans="3:18" x14ac:dyDescent="0.25">
      <c r="C86" s="150">
        <v>80</v>
      </c>
      <c r="D86" s="5">
        <f t="shared" si="42"/>
        <v>23.4</v>
      </c>
      <c r="E86" s="386">
        <f t="shared" si="29"/>
        <v>15.32</v>
      </c>
      <c r="F86" s="191">
        <f t="shared" si="30"/>
        <v>0.39566115702479343</v>
      </c>
      <c r="G86" s="152">
        <f t="shared" si="31"/>
        <v>3.1247339876033058</v>
      </c>
      <c r="H86" s="191">
        <f t="shared" si="32"/>
        <v>0.20831559917355372</v>
      </c>
      <c r="I86" s="386">
        <f t="shared" si="33"/>
        <v>38.72</v>
      </c>
      <c r="J86" s="152">
        <f t="shared" si="34"/>
        <v>0.36003064723691353</v>
      </c>
      <c r="K86" s="152">
        <f t="shared" si="35"/>
        <v>0.72313847949294596</v>
      </c>
      <c r="L86" s="152">
        <f t="shared" si="36"/>
        <v>1.1045326644996694</v>
      </c>
      <c r="M86" s="386">
        <f t="shared" si="43"/>
        <v>350</v>
      </c>
      <c r="N86" s="175">
        <f t="shared" si="37"/>
        <v>350</v>
      </c>
      <c r="O86" s="191">
        <f t="shared" si="38"/>
        <v>0.56282498932402225</v>
      </c>
      <c r="P86" s="153">
        <f t="shared" si="39"/>
        <v>1.7266824085005901</v>
      </c>
      <c r="Q86" s="153">
        <f t="shared" si="40"/>
        <v>0.1700685014228063</v>
      </c>
      <c r="R86" s="153">
        <f t="shared" si="41"/>
        <v>0.46018276762402083</v>
      </c>
    </row>
    <row r="87" spans="3:18" x14ac:dyDescent="0.25">
      <c r="C87" s="150">
        <v>81</v>
      </c>
      <c r="D87" s="5">
        <f t="shared" si="42"/>
        <v>23.53</v>
      </c>
      <c r="E87" s="386">
        <f t="shared" si="29"/>
        <v>15.32</v>
      </c>
      <c r="F87" s="191">
        <f t="shared" si="30"/>
        <v>0.39433719433719433</v>
      </c>
      <c r="G87" s="152">
        <f t="shared" si="31"/>
        <v>3.1315795366795367</v>
      </c>
      <c r="H87" s="191">
        <f t="shared" si="32"/>
        <v>0.2087719691119691</v>
      </c>
      <c r="I87" s="386">
        <f t="shared" si="33"/>
        <v>38.85</v>
      </c>
      <c r="J87" s="152">
        <f t="shared" si="34"/>
        <v>0.3592436298753105</v>
      </c>
      <c r="K87" s="152">
        <f t="shared" si="35"/>
        <v>0.71757121139564783</v>
      </c>
      <c r="L87" s="152">
        <f t="shared" si="36"/>
        <v>1.1021181856487985</v>
      </c>
      <c r="M87" s="386">
        <f t="shared" si="43"/>
        <v>350</v>
      </c>
      <c r="N87" s="175">
        <f t="shared" si="37"/>
        <v>350</v>
      </c>
      <c r="O87" s="191">
        <f t="shared" si="38"/>
        <v>0.56405800503064951</v>
      </c>
      <c r="P87" s="153">
        <f t="shared" si="39"/>
        <v>1.7304651590365878</v>
      </c>
      <c r="Q87" s="153">
        <f t="shared" si="40"/>
        <v>0.17081447694171409</v>
      </c>
      <c r="R87" s="153">
        <f t="shared" si="41"/>
        <v>0.46018276762402083</v>
      </c>
    </row>
    <row r="88" spans="3:18" x14ac:dyDescent="0.25">
      <c r="C88" s="150">
        <v>82</v>
      </c>
      <c r="D88" s="5">
        <f t="shared" si="42"/>
        <v>23.66</v>
      </c>
      <c r="E88" s="386">
        <f t="shared" si="29"/>
        <v>15.32</v>
      </c>
      <c r="F88" s="191">
        <f t="shared" si="30"/>
        <v>0.39302206259620315</v>
      </c>
      <c r="G88" s="152">
        <f t="shared" si="31"/>
        <v>3.1383794253463311</v>
      </c>
      <c r="H88" s="191">
        <f t="shared" si="32"/>
        <v>0.20922529502308873</v>
      </c>
      <c r="I88" s="386">
        <f t="shared" si="33"/>
        <v>38.980000000000004</v>
      </c>
      <c r="J88" s="152">
        <f t="shared" si="34"/>
        <v>0.35846526105614279</v>
      </c>
      <c r="K88" s="152">
        <f t="shared" si="35"/>
        <v>0.7120823021825321</v>
      </c>
      <c r="L88" s="152">
        <f t="shared" si="36"/>
        <v>1.0997302395325528</v>
      </c>
      <c r="M88" s="386">
        <f t="shared" si="43"/>
        <v>350</v>
      </c>
      <c r="N88" s="175">
        <f t="shared" si="37"/>
        <v>350</v>
      </c>
      <c r="O88" s="191">
        <f t="shared" si="38"/>
        <v>0.56528279641496459</v>
      </c>
      <c r="P88" s="153">
        <f t="shared" si="39"/>
        <v>1.7342226782965622</v>
      </c>
      <c r="Q88" s="153">
        <f t="shared" si="40"/>
        <v>0.17155709290890281</v>
      </c>
      <c r="R88" s="153">
        <f t="shared" si="41"/>
        <v>0.46018276762402083</v>
      </c>
    </row>
    <row r="89" spans="3:18" x14ac:dyDescent="0.25">
      <c r="C89" s="150">
        <v>83</v>
      </c>
      <c r="D89" s="5">
        <f t="shared" si="42"/>
        <v>23.79</v>
      </c>
      <c r="E89" s="386">
        <f t="shared" si="29"/>
        <v>15.32</v>
      </c>
      <c r="F89" s="191">
        <f t="shared" si="30"/>
        <v>0.3917156737407313</v>
      </c>
      <c r="G89" s="152">
        <f t="shared" si="31"/>
        <v>3.1451341089235494</v>
      </c>
      <c r="H89" s="191">
        <f t="shared" si="32"/>
        <v>0.20967560726156995</v>
      </c>
      <c r="I89" s="386">
        <f t="shared" si="33"/>
        <v>39.11</v>
      </c>
      <c r="J89" s="152">
        <f t="shared" si="34"/>
        <v>0.35769539900002589</v>
      </c>
      <c r="K89" s="152">
        <f t="shared" si="35"/>
        <v>0.70667018717953822</v>
      </c>
      <c r="L89" s="152">
        <f t="shared" si="36"/>
        <v>1.0973683911880689</v>
      </c>
      <c r="M89" s="386">
        <f t="shared" si="43"/>
        <v>350</v>
      </c>
      <c r="N89" s="175">
        <f t="shared" si="37"/>
        <v>350</v>
      </c>
      <c r="O89" s="191">
        <f t="shared" si="38"/>
        <v>0.56649944548887521</v>
      </c>
      <c r="P89" s="153">
        <f t="shared" si="39"/>
        <v>1.7379552178836251</v>
      </c>
      <c r="Q89" s="153">
        <f t="shared" si="40"/>
        <v>0.17229636676272492</v>
      </c>
      <c r="R89" s="153">
        <f t="shared" si="41"/>
        <v>0.46018276762402083</v>
      </c>
    </row>
    <row r="90" spans="3:18" x14ac:dyDescent="0.25">
      <c r="C90" s="150">
        <v>84</v>
      </c>
      <c r="D90" s="5">
        <f t="shared" si="42"/>
        <v>23.92</v>
      </c>
      <c r="E90" s="386">
        <f t="shared" si="29"/>
        <v>15.32</v>
      </c>
      <c r="F90" s="191">
        <f t="shared" si="30"/>
        <v>0.39041794087665643</v>
      </c>
      <c r="G90" s="152">
        <f t="shared" si="31"/>
        <v>3.1518440366972476</v>
      </c>
      <c r="H90" s="191">
        <f t="shared" si="32"/>
        <v>0.2101229357798165</v>
      </c>
      <c r="I90" s="386">
        <f t="shared" si="33"/>
        <v>39.24</v>
      </c>
      <c r="J90" s="152">
        <f t="shared" si="34"/>
        <v>0.35693390500973649</v>
      </c>
      <c r="K90" s="152">
        <f t="shared" si="35"/>
        <v>0.70133334178334505</v>
      </c>
      <c r="L90" s="152">
        <f t="shared" si="36"/>
        <v>1.0950322151081993</v>
      </c>
      <c r="M90" s="386">
        <f t="shared" si="43"/>
        <v>350</v>
      </c>
      <c r="N90" s="175">
        <f t="shared" si="37"/>
        <v>350</v>
      </c>
      <c r="O90" s="191">
        <f t="shared" si="38"/>
        <v>0.56770803317748475</v>
      </c>
      <c r="P90" s="153">
        <f t="shared" si="39"/>
        <v>1.7416630260666959</v>
      </c>
      <c r="Q90" s="153">
        <f t="shared" si="40"/>
        <v>0.1730323159225973</v>
      </c>
      <c r="R90" s="153">
        <f t="shared" si="41"/>
        <v>0.46018276762402083</v>
      </c>
    </row>
    <row r="91" spans="3:18" x14ac:dyDescent="0.25">
      <c r="C91" s="150">
        <v>85</v>
      </c>
      <c r="D91" s="5">
        <f t="shared" si="42"/>
        <v>24.049999999999997</v>
      </c>
      <c r="E91" s="386">
        <f t="shared" si="29"/>
        <v>15.32</v>
      </c>
      <c r="F91" s="191">
        <f t="shared" si="30"/>
        <v>0.38912877825755654</v>
      </c>
      <c r="G91" s="152">
        <f t="shared" si="31"/>
        <v>3.1585096520193043</v>
      </c>
      <c r="H91" s="191">
        <f t="shared" si="32"/>
        <v>0.21056731013462029</v>
      </c>
      <c r="I91" s="386">
        <f t="shared" si="33"/>
        <v>39.369999999999997</v>
      </c>
      <c r="J91" s="152">
        <f t="shared" si="34"/>
        <v>0.35618064338690969</v>
      </c>
      <c r="K91" s="152">
        <f t="shared" si="35"/>
        <v>0.69607028021558237</v>
      </c>
      <c r="L91" s="152">
        <f t="shared" si="36"/>
        <v>1.0927212949859499</v>
      </c>
      <c r="M91" s="386">
        <f t="shared" si="43"/>
        <v>350</v>
      </c>
      <c r="N91" s="175">
        <f t="shared" si="37"/>
        <v>350</v>
      </c>
      <c r="O91" s="191">
        <f t="shared" si="38"/>
        <v>0.56890863933703562</v>
      </c>
      <c r="P91" s="153">
        <f t="shared" si="39"/>
        <v>1.7453463478355531</v>
      </c>
      <c r="Q91" s="153">
        <f t="shared" si="40"/>
        <v>0.17376495778582307</v>
      </c>
      <c r="R91" s="153">
        <f t="shared" si="41"/>
        <v>0.46018276762402083</v>
      </c>
    </row>
    <row r="92" spans="3:18" x14ac:dyDescent="0.25">
      <c r="C92" s="150">
        <v>86</v>
      </c>
      <c r="D92" s="5">
        <f t="shared" si="42"/>
        <v>24.18</v>
      </c>
      <c r="E92" s="386">
        <f t="shared" si="29"/>
        <v>15.32</v>
      </c>
      <c r="F92" s="191">
        <f t="shared" si="30"/>
        <v>0.38784810126582281</v>
      </c>
      <c r="G92" s="152">
        <f t="shared" si="31"/>
        <v>3.1651313924050632</v>
      </c>
      <c r="H92" s="191">
        <f t="shared" si="32"/>
        <v>0.21100875949367087</v>
      </c>
      <c r="I92" s="386">
        <f t="shared" si="33"/>
        <v>39.5</v>
      </c>
      <c r="J92" s="152">
        <f t="shared" si="34"/>
        <v>0.35543548135142511</v>
      </c>
      <c r="K92" s="152">
        <f t="shared" si="35"/>
        <v>0.69087955432245562</v>
      </c>
      <c r="L92" s="152">
        <f t="shared" si="36"/>
        <v>1.0904352234671657</v>
      </c>
      <c r="M92" s="386">
        <f t="shared" si="43"/>
        <v>350</v>
      </c>
      <c r="N92" s="175">
        <f t="shared" si="37"/>
        <v>350</v>
      </c>
      <c r="O92" s="191">
        <f t="shared" si="38"/>
        <v>0.57010134277249824</v>
      </c>
      <c r="P92" s="153">
        <f t="shared" si="39"/>
        <v>1.7490054249547922</v>
      </c>
      <c r="Q92" s="153">
        <f t="shared" si="40"/>
        <v>0.17449430972454441</v>
      </c>
      <c r="R92" s="153">
        <f t="shared" si="41"/>
        <v>0.46018276762402083</v>
      </c>
    </row>
    <row r="93" spans="3:18" x14ac:dyDescent="0.25">
      <c r="C93" s="150">
        <v>87</v>
      </c>
      <c r="D93" s="5">
        <f t="shared" si="42"/>
        <v>24.310000000000002</v>
      </c>
      <c r="E93" s="386">
        <f t="shared" si="29"/>
        <v>15.32</v>
      </c>
      <c r="F93" s="191">
        <f t="shared" si="30"/>
        <v>0.38657582639414584</v>
      </c>
      <c r="G93" s="152">
        <f t="shared" si="31"/>
        <v>3.1717096896290693</v>
      </c>
      <c r="H93" s="191">
        <f t="shared" si="32"/>
        <v>0.21144731264193795</v>
      </c>
      <c r="I93" s="386">
        <f t="shared" si="33"/>
        <v>39.630000000000003</v>
      </c>
      <c r="J93" s="152">
        <f t="shared" si="34"/>
        <v>0.35469828896337879</v>
      </c>
      <c r="K93" s="152">
        <f t="shared" si="35"/>
        <v>0.68575975241788556</v>
      </c>
      <c r="L93" s="152">
        <f t="shared" si="36"/>
        <v>1.088173601911149</v>
      </c>
      <c r="M93" s="386">
        <f t="shared" si="43"/>
        <v>350</v>
      </c>
      <c r="N93" s="175">
        <f t="shared" si="37"/>
        <v>350</v>
      </c>
      <c r="O93" s="191">
        <f t="shared" si="38"/>
        <v>0.57128622125481376</v>
      </c>
      <c r="P93" s="153">
        <f t="shared" si="39"/>
        <v>1.7526404960167261</v>
      </c>
      <c r="Q93" s="153">
        <f t="shared" si="40"/>
        <v>0.17522038908282264</v>
      </c>
      <c r="R93" s="153">
        <f t="shared" si="41"/>
        <v>0.46018276762402083</v>
      </c>
    </row>
    <row r="94" spans="3:18" x14ac:dyDescent="0.25">
      <c r="C94" s="150">
        <v>88</v>
      </c>
      <c r="D94" s="5">
        <f t="shared" si="42"/>
        <v>24.439999999999998</v>
      </c>
      <c r="E94" s="386">
        <f t="shared" si="29"/>
        <v>15.32</v>
      </c>
      <c r="F94" s="191">
        <f t="shared" si="30"/>
        <v>0.38531187122736421</v>
      </c>
      <c r="G94" s="152">
        <f t="shared" si="31"/>
        <v>3.1782449698189135</v>
      </c>
      <c r="H94" s="191">
        <f t="shared" si="32"/>
        <v>0.21188299798792756</v>
      </c>
      <c r="I94" s="386">
        <f t="shared" si="33"/>
        <v>39.76</v>
      </c>
      <c r="J94" s="152">
        <f t="shared" si="34"/>
        <v>0.35396893904754578</v>
      </c>
      <c r="K94" s="152">
        <f t="shared" si="35"/>
        <v>0.68070949816835724</v>
      </c>
      <c r="L94" s="152">
        <f t="shared" si="36"/>
        <v>1.0859360401589195</v>
      </c>
      <c r="M94" s="386">
        <f t="shared" si="43"/>
        <v>350</v>
      </c>
      <c r="N94" s="175">
        <f t="shared" si="37"/>
        <v>350</v>
      </c>
      <c r="O94" s="191">
        <f t="shared" si="38"/>
        <v>0.57246335153779826</v>
      </c>
      <c r="P94" s="153">
        <f t="shared" si="39"/>
        <v>1.7562517964932451</v>
      </c>
      <c r="Q94" s="153">
        <f t="shared" si="40"/>
        <v>0.1759432131738404</v>
      </c>
      <c r="R94" s="153">
        <f t="shared" si="41"/>
        <v>0.46018276762402083</v>
      </c>
    </row>
    <row r="95" spans="3:18" x14ac:dyDescent="0.25">
      <c r="C95" s="150">
        <v>89</v>
      </c>
      <c r="D95" s="5">
        <f t="shared" si="42"/>
        <v>24.57</v>
      </c>
      <c r="E95" s="386">
        <f t="shared" si="29"/>
        <v>15.32</v>
      </c>
      <c r="F95" s="191">
        <f t="shared" si="30"/>
        <v>0.38405615442466784</v>
      </c>
      <c r="G95" s="152">
        <f t="shared" si="31"/>
        <v>3.1847376535472551</v>
      </c>
      <c r="H95" s="191">
        <f t="shared" si="32"/>
        <v>0.212315843569817</v>
      </c>
      <c r="I95" s="386">
        <f t="shared" si="33"/>
        <v>39.89</v>
      </c>
      <c r="J95" s="152">
        <f t="shared" si="34"/>
        <v>0.35324730712024011</v>
      </c>
      <c r="K95" s="152">
        <f t="shared" si="35"/>
        <v>0.67572744951775676</v>
      </c>
      <c r="L95" s="152">
        <f t="shared" si="36"/>
        <v>1.0837221563088306</v>
      </c>
      <c r="M95" s="386">
        <f t="shared" si="43"/>
        <v>350</v>
      </c>
      <c r="N95" s="175">
        <f t="shared" si="37"/>
        <v>350</v>
      </c>
      <c r="O95" s="191">
        <f t="shared" si="38"/>
        <v>0.57363280937471672</v>
      </c>
      <c r="P95" s="153">
        <f t="shared" si="39"/>
        <v>1.7598395587866633</v>
      </c>
      <c r="Q95" s="153">
        <f t="shared" si="40"/>
        <v>0.17666279927722223</v>
      </c>
      <c r="R95" s="153">
        <f t="shared" si="41"/>
        <v>0.46018276762402083</v>
      </c>
    </row>
    <row r="96" spans="3:18" x14ac:dyDescent="0.25">
      <c r="C96" s="150">
        <v>90</v>
      </c>
      <c r="D96" s="5">
        <f t="shared" si="42"/>
        <v>24.700000000000003</v>
      </c>
      <c r="E96" s="386">
        <f t="shared" si="29"/>
        <v>15.32</v>
      </c>
      <c r="F96" s="191">
        <f t="shared" si="30"/>
        <v>0.38280859570214892</v>
      </c>
      <c r="G96" s="152">
        <f t="shared" si="31"/>
        <v>3.1911881559220396</v>
      </c>
      <c r="H96" s="191">
        <f t="shared" si="32"/>
        <v>0.2127458770614693</v>
      </c>
      <c r="I96" s="386">
        <f t="shared" si="33"/>
        <v>40.020000000000003</v>
      </c>
      <c r="J96" s="152">
        <f t="shared" si="34"/>
        <v>0.35253327131848489</v>
      </c>
      <c r="K96" s="152">
        <f t="shared" si="35"/>
        <v>0.67081229765055816</v>
      </c>
      <c r="L96" s="152">
        <f t="shared" si="36"/>
        <v>1.0815315764992683</v>
      </c>
      <c r="M96" s="386">
        <f t="shared" si="43"/>
        <v>350</v>
      </c>
      <c r="N96" s="175">
        <f t="shared" si="37"/>
        <v>350</v>
      </c>
      <c r="O96" s="191">
        <f t="shared" si="38"/>
        <v>0.57479466953453373</v>
      </c>
      <c r="P96" s="153">
        <f t="shared" si="39"/>
        <v>1.7634040122795747</v>
      </c>
      <c r="Q96" s="153">
        <f t="shared" si="40"/>
        <v>0.17737916463646908</v>
      </c>
      <c r="R96" s="153">
        <f t="shared" si="41"/>
        <v>0.46018276762402083</v>
      </c>
    </row>
    <row r="97" spans="3:18" x14ac:dyDescent="0.25">
      <c r="C97" s="150">
        <v>91</v>
      </c>
      <c r="D97" s="5">
        <f t="shared" si="42"/>
        <v>24.83</v>
      </c>
      <c r="E97" s="386">
        <f t="shared" si="29"/>
        <v>15.32</v>
      </c>
      <c r="F97" s="191">
        <f t="shared" si="30"/>
        <v>0.3815691158156912</v>
      </c>
      <c r="G97" s="152">
        <f t="shared" si="31"/>
        <v>3.1975968866749689</v>
      </c>
      <c r="H97" s="191">
        <f t="shared" si="32"/>
        <v>0.21317312577833125</v>
      </c>
      <c r="I97" s="386">
        <f t="shared" si="33"/>
        <v>40.15</v>
      </c>
      <c r="J97" s="152">
        <f t="shared" si="34"/>
        <v>0.35182671233140794</v>
      </c>
      <c r="K97" s="152">
        <f t="shared" si="35"/>
        <v>0.66596276599179105</v>
      </c>
      <c r="L97" s="152">
        <f t="shared" si="36"/>
        <v>1.0793639346981836</v>
      </c>
      <c r="M97" s="386">
        <f t="shared" si="43"/>
        <v>350</v>
      </c>
      <c r="N97" s="175">
        <f t="shared" si="37"/>
        <v>350</v>
      </c>
      <c r="O97" s="191">
        <f t="shared" si="38"/>
        <v>0.5759490058178488</v>
      </c>
      <c r="P97" s="153">
        <f t="shared" si="39"/>
        <v>1.7669453833837399</v>
      </c>
      <c r="Q97" s="153">
        <f t="shared" si="40"/>
        <v>0.17809232645650294</v>
      </c>
      <c r="R97" s="153">
        <f t="shared" si="41"/>
        <v>0.46018276762402083</v>
      </c>
    </row>
    <row r="98" spans="3:18" x14ac:dyDescent="0.25">
      <c r="C98" s="150">
        <v>92</v>
      </c>
      <c r="D98" s="5">
        <f t="shared" si="42"/>
        <v>24.96</v>
      </c>
      <c r="E98" s="386">
        <f t="shared" si="29"/>
        <v>15.32</v>
      </c>
      <c r="F98" s="191">
        <f t="shared" si="30"/>
        <v>0.38033763654419067</v>
      </c>
      <c r="G98" s="152">
        <f t="shared" si="31"/>
        <v>3.2039642502482626</v>
      </c>
      <c r="H98" s="191">
        <f t="shared" si="32"/>
        <v>0.2135976166832175</v>
      </c>
      <c r="I98" s="386">
        <f t="shared" si="33"/>
        <v>40.28</v>
      </c>
      <c r="J98" s="152">
        <f t="shared" si="34"/>
        <v>0.35112751333377962</v>
      </c>
      <c r="K98" s="152">
        <f t="shared" si="35"/>
        <v>0.6611776092422933</v>
      </c>
      <c r="L98" s="152">
        <f t="shared" si="36"/>
        <v>1.0772188724991933</v>
      </c>
      <c r="M98" s="386">
        <f t="shared" si="43"/>
        <v>350</v>
      </c>
      <c r="N98" s="175">
        <f t="shared" si="37"/>
        <v>350</v>
      </c>
      <c r="O98" s="191">
        <f t="shared" si="38"/>
        <v>0.57709589107252279</v>
      </c>
      <c r="P98" s="153">
        <f t="shared" si="39"/>
        <v>1.7704638955880265</v>
      </c>
      <c r="Q98" s="153">
        <f t="shared" si="40"/>
        <v>0.17880230190131788</v>
      </c>
      <c r="R98" s="153">
        <f t="shared" si="41"/>
        <v>0.46018276762402083</v>
      </c>
    </row>
    <row r="99" spans="3:18" x14ac:dyDescent="0.25">
      <c r="C99" s="150">
        <v>93</v>
      </c>
      <c r="D99" s="5">
        <f t="shared" si="42"/>
        <v>25.09</v>
      </c>
      <c r="E99" s="386">
        <f t="shared" si="29"/>
        <v>15.32</v>
      </c>
      <c r="F99" s="191">
        <f t="shared" si="30"/>
        <v>0.37911408067310076</v>
      </c>
      <c r="G99" s="152">
        <f t="shared" si="31"/>
        <v>3.2102906458797333</v>
      </c>
      <c r="H99" s="191">
        <f t="shared" si="32"/>
        <v>0.21401937639198224</v>
      </c>
      <c r="I99" s="386">
        <f t="shared" si="33"/>
        <v>40.409999999999997</v>
      </c>
      <c r="J99" s="152">
        <f t="shared" si="34"/>
        <v>0.35043555992161896</v>
      </c>
      <c r="K99" s="152">
        <f t="shared" si="35"/>
        <v>0.65645561244783146</v>
      </c>
      <c r="L99" s="152">
        <f t="shared" si="36"/>
        <v>1.0750960389240269</v>
      </c>
      <c r="M99" s="386">
        <f t="shared" si="43"/>
        <v>350</v>
      </c>
      <c r="N99" s="175">
        <f t="shared" si="37"/>
        <v>350</v>
      </c>
      <c r="O99" s="191">
        <f t="shared" si="38"/>
        <v>0.57823539720900297</v>
      </c>
      <c r="P99" s="153">
        <f t="shared" si="39"/>
        <v>1.7739597695054266</v>
      </c>
      <c r="Q99" s="153">
        <f t="shared" si="40"/>
        <v>0.17950910809173329</v>
      </c>
      <c r="R99" s="153">
        <f t="shared" si="41"/>
        <v>0.46018276762402083</v>
      </c>
    </row>
    <row r="100" spans="3:18" x14ac:dyDescent="0.25">
      <c r="C100" s="150">
        <v>94</v>
      </c>
      <c r="D100" s="5">
        <f t="shared" si="42"/>
        <v>25.22</v>
      </c>
      <c r="E100" s="386">
        <f t="shared" si="29"/>
        <v>15.32</v>
      </c>
      <c r="F100" s="191">
        <f t="shared" si="30"/>
        <v>0.37789837197829307</v>
      </c>
      <c r="G100" s="152">
        <f t="shared" si="31"/>
        <v>3.2165764676862358</v>
      </c>
      <c r="H100" s="191">
        <f t="shared" si="32"/>
        <v>0.2144384311790824</v>
      </c>
      <c r="I100" s="386">
        <f t="shared" si="33"/>
        <v>40.54</v>
      </c>
      <c r="J100" s="152">
        <f t="shared" si="34"/>
        <v>0.34975074004978984</v>
      </c>
      <c r="K100" s="152">
        <f t="shared" si="35"/>
        <v>0.65179559010071864</v>
      </c>
      <c r="L100" s="152">
        <f t="shared" si="36"/>
        <v>1.0729950902310785</v>
      </c>
      <c r="M100" s="386">
        <f t="shared" si="43"/>
        <v>350</v>
      </c>
      <c r="N100" s="175">
        <f t="shared" si="37"/>
        <v>350</v>
      </c>
      <c r="O100" s="191">
        <f t="shared" si="38"/>
        <v>0.57936759521535275</v>
      </c>
      <c r="P100" s="153">
        <f t="shared" si="39"/>
        <v>1.7774332229191629</v>
      </c>
      <c r="Q100" s="153">
        <f t="shared" si="40"/>
        <v>0.18021276210324616</v>
      </c>
      <c r="R100" s="153">
        <f t="shared" si="41"/>
        <v>0.46018276762402083</v>
      </c>
    </row>
    <row r="101" spans="3:18" x14ac:dyDescent="0.25">
      <c r="C101" s="150">
        <v>95</v>
      </c>
      <c r="D101" s="5">
        <f t="shared" si="42"/>
        <v>25.35</v>
      </c>
      <c r="E101" s="386">
        <f t="shared" si="29"/>
        <v>15.32</v>
      </c>
      <c r="F101" s="191">
        <f t="shared" si="30"/>
        <v>0.37669043521022866</v>
      </c>
      <c r="G101" s="152">
        <f t="shared" si="31"/>
        <v>3.222822104745513</v>
      </c>
      <c r="H101" s="191">
        <f t="shared" si="32"/>
        <v>0.21485480698303419</v>
      </c>
      <c r="I101" s="386">
        <f t="shared" si="33"/>
        <v>40.67</v>
      </c>
      <c r="J101" s="152">
        <f t="shared" si="34"/>
        <v>0.34907294397151795</v>
      </c>
      <c r="K101" s="152">
        <f t="shared" si="35"/>
        <v>0.64719638527263668</v>
      </c>
      <c r="L101" s="152">
        <f t="shared" si="36"/>
        <v>1.0709156897298526</v>
      </c>
      <c r="M101" s="386">
        <f t="shared" si="43"/>
        <v>350</v>
      </c>
      <c r="N101" s="175">
        <f t="shared" si="37"/>
        <v>350</v>
      </c>
      <c r="O101" s="191">
        <f t="shared" si="38"/>
        <v>0.58049255517199383</v>
      </c>
      <c r="P101" s="153">
        <f t="shared" si="39"/>
        <v>1.7808844708279183</v>
      </c>
      <c r="Q101" s="153">
        <f t="shared" si="40"/>
        <v>0.18091328096397891</v>
      </c>
      <c r="R101" s="153">
        <f t="shared" si="41"/>
        <v>0.46018276762402083</v>
      </c>
    </row>
    <row r="102" spans="3:18" x14ac:dyDescent="0.25">
      <c r="C102" s="150">
        <v>96</v>
      </c>
      <c r="D102" s="5">
        <f t="shared" si="42"/>
        <v>25.48</v>
      </c>
      <c r="E102" s="386">
        <f t="shared" si="29"/>
        <v>15.32</v>
      </c>
      <c r="F102" s="191">
        <f t="shared" si="30"/>
        <v>0.37549019607843143</v>
      </c>
      <c r="G102" s="152">
        <f t="shared" ref="G102:G106" si="44">F102*D102*Isw_max*0.5*Efficiency</f>
        <v>3.2290279411764713</v>
      </c>
      <c r="H102" s="191">
        <f t="shared" ref="H102:H106" si="45">G102/Vout</f>
        <v>0.21526852941176475</v>
      </c>
      <c r="I102" s="386">
        <f t="shared" si="33"/>
        <v>40.799999999999997</v>
      </c>
      <c r="J102" s="152">
        <f t="shared" si="34"/>
        <v>0.348402064179759</v>
      </c>
      <c r="K102" s="152">
        <f t="shared" ref="K102:K106" si="46">L*J102/D102*1000000</f>
        <v>0.64265686877742045</v>
      </c>
      <c r="L102" s="152">
        <f t="shared" si="36"/>
        <v>1.0688575076010882</v>
      </c>
      <c r="M102" s="386">
        <f t="shared" si="43"/>
        <v>350</v>
      </c>
      <c r="N102" s="175">
        <f t="shared" si="37"/>
        <v>350</v>
      </c>
      <c r="O102" s="191">
        <f t="shared" ref="O102:O106" si="47">1/((N102*1000*L)*(1/D102+1/E102))</f>
        <v>0.58161034626616603</v>
      </c>
      <c r="P102" s="153">
        <f t="shared" ref="P102:P106" si="48">L*O102/E102*1000000</f>
        <v>1.7843137254901962</v>
      </c>
      <c r="Q102" s="153">
        <f t="shared" ref="Q102:Q106" si="49">0.5*P102*O102*Nps*N102/1000</f>
        <v>0.18161068165271951</v>
      </c>
      <c r="R102" s="153">
        <f t="shared" si="41"/>
        <v>0.46018276762402083</v>
      </c>
    </row>
    <row r="103" spans="3:18" x14ac:dyDescent="0.25">
      <c r="C103" s="150">
        <v>97</v>
      </c>
      <c r="D103" s="5">
        <f t="shared" ref="D103:D106" si="50">C103/100*(VIN_max-VIN_min)+VIN_min</f>
        <v>25.61</v>
      </c>
      <c r="E103" s="386">
        <f t="shared" si="29"/>
        <v>15.32</v>
      </c>
      <c r="F103" s="191">
        <f t="shared" si="30"/>
        <v>0.37429758123625706</v>
      </c>
      <c r="G103" s="152">
        <f t="shared" si="44"/>
        <v>3.2351943562179328</v>
      </c>
      <c r="H103" s="191">
        <f t="shared" si="45"/>
        <v>0.21567962374786218</v>
      </c>
      <c r="I103" s="386">
        <f t="shared" si="33"/>
        <v>40.93</v>
      </c>
      <c r="J103" s="152">
        <f t="shared" si="34"/>
        <v>0.34773799535035305</v>
      </c>
      <c r="K103" s="152">
        <f t="shared" si="46"/>
        <v>0.63817593836261588</v>
      </c>
      <c r="L103" s="152">
        <f t="shared" si="36"/>
        <v>1.0668202207223623</v>
      </c>
      <c r="M103" s="386">
        <f t="shared" si="43"/>
        <v>350</v>
      </c>
      <c r="N103" s="175">
        <f t="shared" si="37"/>
        <v>350</v>
      </c>
      <c r="O103" s="191">
        <f t="shared" si="47"/>
        <v>0.58272103680611209</v>
      </c>
      <c r="P103" s="153">
        <f t="shared" si="48"/>
        <v>1.7877211964678372</v>
      </c>
      <c r="Q103" s="153">
        <f t="shared" si="49"/>
        <v>0.18230498109705023</v>
      </c>
      <c r="R103" s="153">
        <f t="shared" si="41"/>
        <v>0.46018276762402083</v>
      </c>
    </row>
    <row r="104" spans="3:18" x14ac:dyDescent="0.25">
      <c r="C104" s="150">
        <v>98</v>
      </c>
      <c r="D104" s="5">
        <f t="shared" si="50"/>
        <v>25.740000000000002</v>
      </c>
      <c r="E104" s="386">
        <f t="shared" si="29"/>
        <v>15.32</v>
      </c>
      <c r="F104" s="191">
        <f t="shared" si="30"/>
        <v>0.37311251826595226</v>
      </c>
      <c r="G104" s="152">
        <f t="shared" si="44"/>
        <v>3.241321724305894</v>
      </c>
      <c r="H104" s="191">
        <f t="shared" si="45"/>
        <v>0.21608811495372626</v>
      </c>
      <c r="I104" s="386">
        <f t="shared" si="33"/>
        <v>41.06</v>
      </c>
      <c r="J104" s="152">
        <f t="shared" si="34"/>
        <v>0.34708063428690056</v>
      </c>
      <c r="K104" s="152">
        <f t="shared" si="46"/>
        <v>0.63375251792868381</v>
      </c>
      <c r="L104" s="152">
        <f t="shared" si="36"/>
        <v>1.0648035124989768</v>
      </c>
      <c r="M104" s="386">
        <f t="shared" si="43"/>
        <v>350</v>
      </c>
      <c r="N104" s="175">
        <f t="shared" si="37"/>
        <v>350</v>
      </c>
      <c r="O104" s="191">
        <f t="shared" si="47"/>
        <v>0.58382469423499161</v>
      </c>
      <c r="P104" s="153">
        <f t="shared" si="48"/>
        <v>1.7911070906687079</v>
      </c>
      <c r="Q104" s="153">
        <f t="shared" si="49"/>
        <v>0.18299619617156215</v>
      </c>
      <c r="R104" s="153">
        <f t="shared" si="41"/>
        <v>0.46018276762402083</v>
      </c>
    </row>
    <row r="105" spans="3:18" x14ac:dyDescent="0.25">
      <c r="C105" s="150">
        <v>99</v>
      </c>
      <c r="D105" s="5">
        <f t="shared" si="50"/>
        <v>25.869999999999997</v>
      </c>
      <c r="E105" s="386">
        <f t="shared" si="29"/>
        <v>15.32</v>
      </c>
      <c r="F105" s="191">
        <f t="shared" si="30"/>
        <v>0.37193493566399616</v>
      </c>
      <c r="G105" s="152">
        <f t="shared" si="44"/>
        <v>3.2474104151493082</v>
      </c>
      <c r="H105" s="191">
        <f t="shared" si="45"/>
        <v>0.21649402767662054</v>
      </c>
      <c r="I105" s="386">
        <f t="shared" si="33"/>
        <v>41.19</v>
      </c>
      <c r="J105" s="152">
        <f t="shared" si="34"/>
        <v>0.34642987986730195</v>
      </c>
      <c r="K105" s="152">
        <f t="shared" si="46"/>
        <v>0.62938555677476582</v>
      </c>
      <c r="L105" s="152">
        <f t="shared" si="36"/>
        <v>1.0628070726999472</v>
      </c>
      <c r="M105" s="386">
        <f t="shared" si="43"/>
        <v>350</v>
      </c>
      <c r="N105" s="175">
        <f t="shared" si="37"/>
        <v>350</v>
      </c>
      <c r="O105" s="191">
        <f t="shared" si="47"/>
        <v>0.58492138514453373</v>
      </c>
      <c r="P105" s="153">
        <f t="shared" si="48"/>
        <v>1.7944716123885827</v>
      </c>
      <c r="Q105" s="153">
        <f t="shared" si="49"/>
        <v>0.18368434369615302</v>
      </c>
      <c r="R105" s="153">
        <f t="shared" si="41"/>
        <v>0.46018276762402083</v>
      </c>
    </row>
    <row r="106" spans="3:18" x14ac:dyDescent="0.25">
      <c r="C106" s="150">
        <v>100</v>
      </c>
      <c r="D106" s="5">
        <f t="shared" si="50"/>
        <v>26</v>
      </c>
      <c r="E106" s="386">
        <f t="shared" si="29"/>
        <v>15.32</v>
      </c>
      <c r="F106" s="191">
        <f t="shared" si="30"/>
        <v>0.37076476282671827</v>
      </c>
      <c r="G106" s="152">
        <f t="shared" si="44"/>
        <v>3.2534607938044529</v>
      </c>
      <c r="H106" s="191">
        <f t="shared" si="45"/>
        <v>0.2168973862536302</v>
      </c>
      <c r="I106" s="386">
        <f t="shared" si="33"/>
        <v>41.32</v>
      </c>
      <c r="J106" s="152">
        <f t="shared" si="34"/>
        <v>0.34578563299189929</v>
      </c>
      <c r="K106" s="152">
        <f t="shared" si="46"/>
        <v>0.62507402886997177</v>
      </c>
      <c r="L106" s="152">
        <f t="shared" si="36"/>
        <v>1.0608305972989076</v>
      </c>
      <c r="M106" s="386">
        <f t="shared" si="43"/>
        <v>350</v>
      </c>
      <c r="N106" s="175">
        <f t="shared" si="37"/>
        <v>350</v>
      </c>
      <c r="O106" s="191">
        <f t="shared" si="47"/>
        <v>0.58601117528843016</v>
      </c>
      <c r="P106" s="153">
        <f t="shared" si="48"/>
        <v>1.7978149633522333</v>
      </c>
      <c r="Q106" s="153">
        <f t="shared" si="49"/>
        <v>0.18436944043440445</v>
      </c>
      <c r="R106" s="153">
        <f t="shared" si="41"/>
        <v>0.46018276762402083</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33203125" defaultRowHeight="13.2" x14ac:dyDescent="0.25"/>
  <cols>
    <col min="1" max="1" width="15.6640625" style="150" customWidth="1"/>
    <col min="2" max="2" width="11.5546875" style="150" customWidth="1"/>
    <col min="3" max="3" width="9.33203125" style="150"/>
    <col min="4" max="4" width="12.44140625" style="150" bestFit="1" customWidth="1"/>
    <col min="5" max="5" width="51.44140625" style="150" customWidth="1"/>
    <col min="6" max="6" width="13.44140625" style="150" customWidth="1"/>
    <col min="7" max="7" width="10" style="150" customWidth="1"/>
    <col min="8" max="8" width="6.6640625" style="150" customWidth="1"/>
    <col min="9" max="9" width="12.44140625" style="150" bestFit="1" customWidth="1"/>
    <col min="10" max="10" width="9.33203125" style="190" customWidth="1"/>
    <col min="11" max="11" width="8.6640625"/>
    <col min="13" max="13" width="10.6640625" customWidth="1"/>
    <col min="14" max="14" width="12" style="150" customWidth="1"/>
    <col min="15" max="15" width="12.6640625" style="190" customWidth="1"/>
    <col min="16" max="16" width="11.44140625" style="190" customWidth="1"/>
    <col min="17" max="17" width="12.44140625" style="190" customWidth="1"/>
    <col min="18" max="19" width="10.5546875" style="175" customWidth="1"/>
    <col min="20" max="20" width="10" style="175" customWidth="1"/>
    <col min="21" max="21" width="10.5546875" style="175" customWidth="1"/>
    <col min="22" max="22" width="8.44140625" style="190" customWidth="1"/>
    <col min="23" max="23" width="9.33203125" style="190" customWidth="1"/>
    <col min="24" max="24" width="9.44140625" style="150" customWidth="1"/>
    <col min="25" max="25" width="9.44140625" style="190" customWidth="1"/>
    <col min="26" max="26" width="8.33203125" style="191" customWidth="1"/>
    <col min="27" max="27" width="9.5546875" style="190" customWidth="1"/>
    <col min="28" max="28" width="9.44140625" style="190" bestFit="1" customWidth="1"/>
    <col min="29" max="29" width="8.5546875" style="190" customWidth="1"/>
    <col min="30" max="30" width="9.6640625" style="192" customWidth="1"/>
    <col min="31" max="31" width="9.33203125" style="192" customWidth="1"/>
    <col min="32" max="32" width="8.33203125" style="190" customWidth="1"/>
    <col min="33" max="33" width="10.33203125" style="190" customWidth="1"/>
    <col min="34" max="34" width="9.44140625" style="190" customWidth="1"/>
    <col min="35" max="35" width="8.6640625"/>
    <col min="36" max="36" width="9.6640625" style="190" customWidth="1"/>
    <col min="37" max="37" width="11.5546875" style="190" customWidth="1"/>
    <col min="38" max="38" width="10.33203125" style="190" customWidth="1"/>
    <col min="39" max="39" width="11.33203125" style="190" customWidth="1"/>
    <col min="40" max="40" width="9.33203125" style="190"/>
    <col min="41" max="41" width="10.33203125" style="190" customWidth="1"/>
    <col min="42" max="43" width="9.6640625" style="190" customWidth="1"/>
    <col min="44" max="45" width="10.33203125" style="190" customWidth="1"/>
    <col min="46" max="46" width="10.44140625" style="190" customWidth="1"/>
    <col min="47" max="47" width="11.33203125" style="190" customWidth="1"/>
    <col min="48" max="48" width="11.6640625" style="190" customWidth="1"/>
    <col min="49" max="49" width="10.44140625" style="190" customWidth="1"/>
    <col min="50" max="50" width="11.44140625" style="190" customWidth="1"/>
    <col min="51" max="51" width="10.33203125" style="190" customWidth="1"/>
    <col min="52" max="52" width="10" style="152" bestFit="1" customWidth="1"/>
    <col min="53" max="55" width="12.6640625" style="299" customWidth="1"/>
    <col min="56" max="56" width="14" style="299" customWidth="1"/>
    <col min="57" max="57" width="12.6640625" style="299" customWidth="1"/>
    <col min="58" max="58" width="10.44140625" style="299" customWidth="1"/>
    <col min="59" max="59" width="9" style="299" customWidth="1"/>
    <col min="60" max="60" width="8.6640625" style="299" customWidth="1"/>
    <col min="61" max="61" width="10.6640625" style="299" customWidth="1"/>
    <col min="62" max="62" width="11.33203125" style="299" customWidth="1"/>
    <col min="63" max="64" width="9.33203125" style="299"/>
    <col min="65" max="65" width="8.6640625" style="152" customWidth="1"/>
    <col min="66" max="66" width="9.33203125" style="191"/>
    <col min="67" max="67" width="12.5546875" style="150" customWidth="1"/>
    <col min="68" max="68" width="13.5546875" style="152" customWidth="1"/>
    <col min="69" max="69" width="12.6640625" style="175" customWidth="1"/>
    <col min="70" max="70" width="3.6640625" style="150" customWidth="1"/>
    <col min="71" max="71" width="12.44140625" style="150" bestFit="1" customWidth="1"/>
    <col min="72" max="72" width="3.5546875" style="150" customWidth="1"/>
    <col min="73" max="73" width="9.33203125" style="152"/>
    <col min="74" max="74" width="11.33203125" style="152" customWidth="1"/>
    <col min="75" max="75" width="9.33203125" style="152"/>
    <col min="76" max="76" width="4.6640625" style="150" customWidth="1"/>
    <col min="77" max="77" width="3.6640625" style="150" customWidth="1"/>
    <col min="78" max="78" width="12.44140625" style="150" customWidth="1"/>
    <col min="79" max="79" width="11.6640625" style="150" customWidth="1"/>
    <col min="80" max="80" width="11.5546875" style="150" customWidth="1"/>
    <col min="81" max="81" width="11.6640625" style="150" customWidth="1"/>
    <col min="82" max="82" width="9.33203125" style="150"/>
    <col min="83" max="83" width="9.33203125" style="150" customWidth="1"/>
    <col min="84" max="16384" width="9.33203125" style="150"/>
  </cols>
  <sheetData>
    <row r="1" spans="1:81" x14ac:dyDescent="0.25">
      <c r="A1" s="732" t="s">
        <v>515</v>
      </c>
      <c r="B1" s="732"/>
      <c r="C1" s="732"/>
      <c r="D1" s="732"/>
      <c r="E1" s="732"/>
    </row>
    <row r="2" spans="1:81" ht="15.6" x14ac:dyDescent="0.25">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8" thickBot="1" x14ac:dyDescent="0.3">
      <c r="A3" s="732"/>
      <c r="B3" s="732"/>
      <c r="C3" s="732"/>
      <c r="D3" s="732"/>
      <c r="E3" s="732"/>
    </row>
    <row r="4" spans="1:81" ht="13.8" thickBot="1" x14ac:dyDescent="0.3">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55000000000000004">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5">
      <c r="A6" s="234" t="s">
        <v>26</v>
      </c>
      <c r="B6" s="235" t="s">
        <v>43</v>
      </c>
      <c r="C6" s="236" t="s">
        <v>33</v>
      </c>
      <c r="D6" s="236" t="s">
        <v>90</v>
      </c>
      <c r="E6" s="237" t="s">
        <v>41</v>
      </c>
      <c r="F6" s="238"/>
      <c r="G6" s="238"/>
      <c r="H6" s="150">
        <v>0.1</v>
      </c>
      <c r="I6" s="397">
        <f t="shared" ref="I6:I37" si="0">IF(PLOT_TYPE=1, H6/100*Iout_max, min_I*EXP(H6*rr/100))</f>
        <v>1E-4</v>
      </c>
      <c r="J6" s="191"/>
      <c r="K6" s="191"/>
      <c r="L6" s="191"/>
      <c r="M6" s="191"/>
      <c r="N6" s="239"/>
      <c r="O6" s="152"/>
      <c r="P6" s="191"/>
      <c r="Q6" s="386"/>
      <c r="S6" s="240"/>
      <c r="T6" s="240"/>
      <c r="U6" s="240"/>
      <c r="AJ6" s="386"/>
      <c r="AY6" s="190">
        <f>Vout*I6</f>
        <v>1.5E-3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0.1</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5">
      <c r="A7" s="360"/>
      <c r="B7" s="235"/>
      <c r="C7" s="236"/>
      <c r="D7" s="236"/>
      <c r="E7" s="237"/>
      <c r="F7" s="238"/>
      <c r="G7" s="238"/>
      <c r="H7" s="150">
        <v>1</v>
      </c>
      <c r="I7" s="397">
        <f t="shared" si="0"/>
        <v>1E-3</v>
      </c>
      <c r="J7" s="191"/>
      <c r="K7" s="191"/>
      <c r="L7" s="191"/>
      <c r="M7" s="191"/>
      <c r="N7" s="239"/>
      <c r="O7" s="152"/>
      <c r="P7" s="191"/>
      <c r="Q7" s="386"/>
      <c r="S7" s="240"/>
      <c r="T7" s="240"/>
      <c r="U7" s="240"/>
      <c r="AJ7" s="386"/>
      <c r="AY7" s="190">
        <f>Vout*I7</f>
        <v>1.4999999999999999E-2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1</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5">
      <c r="A8" s="244" t="s">
        <v>3</v>
      </c>
      <c r="B8" s="245">
        <f>Vin</f>
        <v>15</v>
      </c>
      <c r="C8" s="151" t="s">
        <v>0</v>
      </c>
      <c r="D8" s="172">
        <f>B8</f>
        <v>15</v>
      </c>
      <c r="E8" s="151" t="s">
        <v>3</v>
      </c>
      <c r="F8" s="238"/>
      <c r="G8" s="238"/>
      <c r="H8" s="150">
        <v>2</v>
      </c>
      <c r="I8" s="397">
        <f t="shared" si="0"/>
        <v>2E-3</v>
      </c>
      <c r="J8" s="191"/>
      <c r="K8" s="191"/>
      <c r="L8" s="191"/>
      <c r="M8" s="191"/>
      <c r="N8" s="239"/>
      <c r="O8" s="152"/>
      <c r="P8" s="191"/>
      <c r="Q8" s="386"/>
      <c r="S8" s="240"/>
      <c r="T8" s="240"/>
      <c r="U8" s="240"/>
      <c r="AJ8" s="386"/>
      <c r="AY8" s="190">
        <f>Vout*I8</f>
        <v>0.03</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2</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5">
      <c r="A9" s="246" t="s">
        <v>4</v>
      </c>
      <c r="B9" s="245">
        <f>Vout</f>
        <v>15</v>
      </c>
      <c r="C9" s="151" t="s">
        <v>0</v>
      </c>
      <c r="D9" s="172">
        <f>B9</f>
        <v>15</v>
      </c>
      <c r="E9" s="151" t="s">
        <v>4</v>
      </c>
      <c r="F9" s="238"/>
      <c r="G9" s="238"/>
      <c r="H9" s="150">
        <v>3</v>
      </c>
      <c r="I9" s="397">
        <f t="shared" si="0"/>
        <v>3.0000000000000001E-3</v>
      </c>
      <c r="J9" s="191"/>
      <c r="K9" s="191"/>
      <c r="L9" s="191"/>
      <c r="M9" s="191"/>
      <c r="N9" s="239"/>
      <c r="O9" s="152"/>
      <c r="P9" s="191"/>
      <c r="Q9" s="386"/>
      <c r="S9" s="240"/>
      <c r="T9" s="240"/>
      <c r="U9" s="240"/>
      <c r="AJ9" s="386"/>
      <c r="AY9" s="190">
        <f>Vout*I9</f>
        <v>4.4999999999999998E-2</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3</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5">
      <c r="A10" s="246" t="s">
        <v>5</v>
      </c>
      <c r="B10" s="245">
        <f>Iout</f>
        <v>0.1</v>
      </c>
      <c r="C10" s="151" t="s">
        <v>1</v>
      </c>
      <c r="D10" s="172">
        <f>B10</f>
        <v>0.1</v>
      </c>
      <c r="E10" s="151" t="s">
        <v>241</v>
      </c>
      <c r="F10" s="238"/>
      <c r="G10" s="238"/>
      <c r="H10" s="150">
        <v>4</v>
      </c>
      <c r="I10" s="397">
        <f t="shared" si="0"/>
        <v>4.0000000000000001E-3</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5">
      <c r="A11" s="246" t="s">
        <v>139</v>
      </c>
      <c r="B11" s="310">
        <f>Vout/(Fsw/1000)*100000/16</f>
        <v>-937500</v>
      </c>
      <c r="C11" s="247" t="s">
        <v>242</v>
      </c>
      <c r="D11" s="258">
        <f>B11*1000</f>
        <v>-937500000</v>
      </c>
      <c r="E11" s="151"/>
      <c r="F11" s="238"/>
      <c r="G11" s="238"/>
      <c r="H11" s="150">
        <v>5</v>
      </c>
      <c r="I11" s="397">
        <f t="shared" si="0"/>
        <v>5.000000000000001E-3</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5">
      <c r="A12" s="246" t="s">
        <v>243</v>
      </c>
      <c r="B12" s="245">
        <v>25</v>
      </c>
      <c r="C12" s="151" t="s">
        <v>102</v>
      </c>
      <c r="D12" s="172">
        <f>B12</f>
        <v>25</v>
      </c>
      <c r="E12" s="151" t="s">
        <v>244</v>
      </c>
      <c r="F12" s="238">
        <f>Turns_Ratio</f>
        <v>9</v>
      </c>
      <c r="H12" s="150">
        <v>6</v>
      </c>
      <c r="I12" s="397">
        <f t="shared" si="0"/>
        <v>6.0000000000000001E-3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5">
      <c r="A13" s="248" t="s">
        <v>245</v>
      </c>
      <c r="B13" s="249">
        <v>5</v>
      </c>
      <c r="C13" s="151" t="s">
        <v>0</v>
      </c>
      <c r="D13" s="172">
        <f>B13</f>
        <v>5</v>
      </c>
      <c r="E13" s="151"/>
      <c r="F13" s="238"/>
      <c r="G13" s="238"/>
      <c r="H13" s="150">
        <v>7</v>
      </c>
      <c r="I13" s="397">
        <f t="shared" si="0"/>
        <v>7.000000000000001E-3</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5">
      <c r="F14" s="238"/>
      <c r="G14" s="238"/>
      <c r="H14" s="150">
        <v>8</v>
      </c>
      <c r="I14" s="397">
        <f t="shared" si="0"/>
        <v>8.0000000000000002E-3</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5">
      <c r="A15" s="250" t="s">
        <v>34</v>
      </c>
      <c r="B15" s="212"/>
      <c r="C15" s="212"/>
      <c r="D15" s="212"/>
      <c r="E15" s="213"/>
      <c r="F15" s="238"/>
      <c r="G15" s="238"/>
      <c r="H15" s="150">
        <v>9</v>
      </c>
      <c r="I15" s="397">
        <f t="shared" si="0"/>
        <v>8.9999999999999993E-3</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5">
      <c r="A16" s="234" t="s">
        <v>26</v>
      </c>
      <c r="B16" s="235" t="s">
        <v>6</v>
      </c>
      <c r="C16" s="235" t="s">
        <v>33</v>
      </c>
      <c r="D16" s="251" t="s">
        <v>90</v>
      </c>
      <c r="E16" s="237" t="s">
        <v>41</v>
      </c>
      <c r="F16" s="238"/>
      <c r="G16" s="238"/>
      <c r="H16" s="150">
        <v>10</v>
      </c>
      <c r="I16" s="397">
        <f t="shared" si="0"/>
        <v>1.0000000000000002E-2</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5">
      <c r="A17" s="248" t="s">
        <v>246</v>
      </c>
      <c r="B17" s="252">
        <f>Vout/Vin/Fsw*1000000</f>
        <v>-10000</v>
      </c>
      <c r="C17" s="253" t="s">
        <v>247</v>
      </c>
      <c r="D17" s="254">
        <f>B17/1000000</f>
        <v>-0.01</v>
      </c>
      <c r="E17" s="151" t="s">
        <v>248</v>
      </c>
      <c r="F17" s="238"/>
      <c r="G17" s="238"/>
      <c r="H17" s="150">
        <v>11</v>
      </c>
      <c r="I17" s="397">
        <f t="shared" si="0"/>
        <v>1.1000000000000001E-2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5">
      <c r="A18" s="248" t="s">
        <v>249</v>
      </c>
      <c r="B18" s="252"/>
      <c r="C18" s="253" t="s">
        <v>247</v>
      </c>
      <c r="D18" s="255">
        <f>B18/1000000</f>
        <v>0</v>
      </c>
      <c r="E18" s="151" t="s">
        <v>250</v>
      </c>
      <c r="F18" s="238"/>
      <c r="G18" s="238"/>
      <c r="H18" s="150">
        <v>12</v>
      </c>
      <c r="I18" s="397">
        <f t="shared" si="0"/>
        <v>1.2E-2</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6" x14ac:dyDescent="0.35">
      <c r="A19" s="248" t="s">
        <v>251</v>
      </c>
      <c r="B19" s="256">
        <f>(Vin-Vout-(Rdcr_pri+Rdson)*Iout)/L*OnTime*1000</f>
        <v>28723.404255319154</v>
      </c>
      <c r="C19" s="151" t="s">
        <v>30</v>
      </c>
      <c r="D19" s="168">
        <f>B19/1000</f>
        <v>28.723404255319153</v>
      </c>
      <c r="E19" s="151" t="s">
        <v>252</v>
      </c>
      <c r="F19" s="238"/>
      <c r="G19" s="238"/>
      <c r="H19" s="150">
        <v>13</v>
      </c>
      <c r="I19" s="397">
        <f t="shared" si="0"/>
        <v>1.3000000000000001E-2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5">
      <c r="A20" s="248" t="s">
        <v>253</v>
      </c>
      <c r="B20" s="257">
        <f>'LM(2)518x PSR flyback converter'!E13</f>
        <v>-0.1</v>
      </c>
      <c r="C20" s="151" t="s">
        <v>2</v>
      </c>
      <c r="D20" s="258">
        <f>B20*1000</f>
        <v>-100</v>
      </c>
      <c r="E20" s="151" t="s">
        <v>254</v>
      </c>
      <c r="F20" s="292"/>
      <c r="G20" s="238"/>
      <c r="H20" s="150">
        <v>14</v>
      </c>
      <c r="I20" s="397">
        <f t="shared" si="0"/>
        <v>1.4000000000000002E-2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5">
      <c r="A21" s="248" t="s">
        <v>417</v>
      </c>
      <c r="B21" s="256">
        <v>350</v>
      </c>
      <c r="C21" s="151" t="s">
        <v>2</v>
      </c>
      <c r="D21" s="258">
        <f>B21*1000</f>
        <v>350000</v>
      </c>
      <c r="E21" s="151" t="s">
        <v>418</v>
      </c>
      <c r="F21" s="238"/>
      <c r="G21" s="238"/>
      <c r="H21" s="150">
        <v>15</v>
      </c>
      <c r="I21" s="397">
        <f t="shared" si="0"/>
        <v>1.4999999999999999E-2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5">
      <c r="A22" s="259" t="s">
        <v>38</v>
      </c>
      <c r="B22" s="260">
        <v>10</v>
      </c>
      <c r="C22" s="151" t="s">
        <v>32</v>
      </c>
      <c r="D22" s="261">
        <f>B22/1000000000</f>
        <v>1E-8</v>
      </c>
      <c r="E22" s="151" t="s">
        <v>255</v>
      </c>
      <c r="F22" s="238"/>
      <c r="G22" s="238"/>
      <c r="H22" s="150">
        <v>16</v>
      </c>
      <c r="I22" s="397">
        <f t="shared" si="0"/>
        <v>1.6E-2</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5">
      <c r="A23" s="259" t="s">
        <v>39</v>
      </c>
      <c r="B23" s="260">
        <v>10</v>
      </c>
      <c r="C23" s="151" t="s">
        <v>32</v>
      </c>
      <c r="D23" s="261">
        <f>B23/1000000000</f>
        <v>1E-8</v>
      </c>
      <c r="E23" s="151" t="s">
        <v>256</v>
      </c>
      <c r="F23" s="238"/>
      <c r="G23" s="238"/>
      <c r="H23" s="150">
        <v>17</v>
      </c>
      <c r="I23" s="397">
        <f t="shared" si="0"/>
        <v>1.7000000000000001E-2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5">
      <c r="A24" s="213"/>
      <c r="B24" s="213"/>
      <c r="C24" s="213"/>
      <c r="D24" s="213"/>
      <c r="E24" s="213"/>
      <c r="F24" s="238"/>
      <c r="G24" s="238"/>
      <c r="H24" s="150">
        <v>18</v>
      </c>
      <c r="I24" s="397">
        <f t="shared" si="0"/>
        <v>1.7999999999999999E-2</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5">
      <c r="A25" s="234" t="s">
        <v>29</v>
      </c>
      <c r="B25" s="236" t="s">
        <v>43</v>
      </c>
      <c r="C25" s="235" t="s">
        <v>33</v>
      </c>
      <c r="D25" s="251" t="s">
        <v>90</v>
      </c>
      <c r="E25" s="237" t="s">
        <v>41</v>
      </c>
      <c r="F25" s="238"/>
      <c r="G25" s="238"/>
      <c r="H25" s="150">
        <v>19</v>
      </c>
      <c r="I25" s="397">
        <f t="shared" si="0"/>
        <v>1.9000000000000003E-2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8" thickBot="1" x14ac:dyDescent="0.3">
      <c r="A26" s="262" t="s">
        <v>27</v>
      </c>
      <c r="B26" s="151">
        <f>'LM(2)518x PSR flyback converter'!L7</f>
        <v>47</v>
      </c>
      <c r="C26" s="253" t="s">
        <v>96</v>
      </c>
      <c r="D26" s="172">
        <f>B26/1000000</f>
        <v>4.6999999999999997E-5</v>
      </c>
      <c r="E26" s="151" t="s">
        <v>257</v>
      </c>
      <c r="F26" s="263"/>
      <c r="G26" s="238"/>
      <c r="H26" s="150">
        <v>20</v>
      </c>
      <c r="I26" s="397">
        <f t="shared" si="0"/>
        <v>2.0000000000000004E-2</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8" thickBot="1" x14ac:dyDescent="0.3">
      <c r="A27" s="264" t="s">
        <v>392</v>
      </c>
      <c r="B27" s="265">
        <f>'LM(2)518x PSR flyback converter'!L8</f>
        <v>1000</v>
      </c>
      <c r="C27" s="266" t="s">
        <v>258</v>
      </c>
      <c r="D27" s="172">
        <f>B27/1000</f>
        <v>1</v>
      </c>
      <c r="E27" s="151" t="s">
        <v>487</v>
      </c>
      <c r="F27" s="238"/>
      <c r="G27" s="238"/>
      <c r="H27" s="150">
        <v>21</v>
      </c>
      <c r="I27" s="397">
        <f t="shared" si="0"/>
        <v>2.1000000000000001E-2</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8" thickBot="1" x14ac:dyDescent="0.3">
      <c r="A28" s="264" t="s">
        <v>455</v>
      </c>
      <c r="B28" s="265">
        <f>'LM(2)518x PSR flyback converter'!L9</f>
        <v>1000</v>
      </c>
      <c r="C28" s="266" t="s">
        <v>258</v>
      </c>
      <c r="D28" s="172">
        <f>B28/1000</f>
        <v>1</v>
      </c>
      <c r="E28" s="151" t="s">
        <v>661</v>
      </c>
      <c r="F28" s="238"/>
      <c r="G28" s="238"/>
      <c r="H28" s="150">
        <v>22</v>
      </c>
      <c r="I28" s="397">
        <f t="shared" si="0"/>
        <v>2.2000000000000002E-2</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8" thickBot="1" x14ac:dyDescent="0.3">
      <c r="A29" s="264" t="s">
        <v>259</v>
      </c>
      <c r="B29" s="267">
        <v>0</v>
      </c>
      <c r="C29" s="266"/>
      <c r="D29" s="261">
        <f>B29</f>
        <v>0</v>
      </c>
      <c r="E29" s="268" t="s">
        <v>486</v>
      </c>
      <c r="F29" s="238"/>
      <c r="G29" s="238"/>
      <c r="H29" s="150">
        <v>23</v>
      </c>
      <c r="I29" s="397">
        <f t="shared" si="0"/>
        <v>2.3000000000000003E-2</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8" thickBot="1" x14ac:dyDescent="0.3">
      <c r="A30" s="269" t="s">
        <v>28</v>
      </c>
      <c r="B30" s="265">
        <f>'LM(2)518x PSR flyback converter'!E18</f>
        <v>10</v>
      </c>
      <c r="C30" s="270" t="s">
        <v>97</v>
      </c>
      <c r="D30" s="271">
        <f>B30/1000000</f>
        <v>1.0000000000000001E-5</v>
      </c>
      <c r="E30" s="272" t="s">
        <v>60</v>
      </c>
      <c r="F30" s="238"/>
      <c r="G30" s="238"/>
      <c r="H30" s="150">
        <v>24</v>
      </c>
      <c r="I30" s="397">
        <f t="shared" si="0"/>
        <v>2.4E-2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8" thickBot="1" x14ac:dyDescent="0.3">
      <c r="A31" s="264" t="s">
        <v>260</v>
      </c>
      <c r="B31" s="265">
        <f>'LM(2)518x PSR flyback converter'!E19</f>
        <v>3</v>
      </c>
      <c r="C31" s="266" t="s">
        <v>258</v>
      </c>
      <c r="D31" s="172">
        <f>B31/1000</f>
        <v>3.0000000000000001E-3</v>
      </c>
      <c r="E31" s="151" t="s">
        <v>261</v>
      </c>
      <c r="F31" s="238"/>
      <c r="G31" s="238"/>
      <c r="H31" s="150">
        <v>25</v>
      </c>
      <c r="I31" s="397">
        <f t="shared" si="0"/>
        <v>2.5000000000000001E-2</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8" thickBot="1" x14ac:dyDescent="0.3">
      <c r="A32" s="262" t="s">
        <v>14</v>
      </c>
      <c r="B32" s="311">
        <f>'LM(2)518x PSR flyback converter'!E22</f>
        <v>10</v>
      </c>
      <c r="C32" s="253" t="s">
        <v>97</v>
      </c>
      <c r="D32" s="254">
        <f>B32/1000000</f>
        <v>1.0000000000000001E-5</v>
      </c>
      <c r="E32" s="151" t="s">
        <v>262</v>
      </c>
      <c r="F32" s="238"/>
      <c r="G32" s="238"/>
      <c r="H32" s="150">
        <v>26</v>
      </c>
      <c r="I32" s="397">
        <f t="shared" si="0"/>
        <v>2.6000000000000002E-2</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5">
      <c r="A33" s="264" t="s">
        <v>263</v>
      </c>
      <c r="B33" s="311">
        <f>'LM(2)518x PSR flyback converter'!E23</f>
        <v>3</v>
      </c>
      <c r="C33" s="266" t="s">
        <v>258</v>
      </c>
      <c r="D33" s="172">
        <f>B33/1000</f>
        <v>3.0000000000000001E-3</v>
      </c>
      <c r="E33" s="151" t="s">
        <v>264</v>
      </c>
      <c r="F33" s="238"/>
      <c r="G33" s="238"/>
      <c r="H33" s="150">
        <v>27</v>
      </c>
      <c r="I33" s="397">
        <f t="shared" si="0"/>
        <v>2.7000000000000003E-2</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5">
      <c r="A34" s="273" t="s">
        <v>401</v>
      </c>
      <c r="B34" s="236"/>
      <c r="C34" s="273" t="s">
        <v>33</v>
      </c>
      <c r="D34" s="273" t="s">
        <v>90</v>
      </c>
      <c r="E34" s="274" t="s">
        <v>41</v>
      </c>
      <c r="F34" s="238"/>
      <c r="G34" s="238"/>
      <c r="H34" s="150">
        <v>28</v>
      </c>
      <c r="I34" s="397">
        <f t="shared" si="0"/>
        <v>2.8000000000000004E-2</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5">
      <c r="A35" s="264" t="s">
        <v>406</v>
      </c>
      <c r="B35" s="275">
        <f>CHOOSE(VARIANT, 1.5, 0.75, 1.5, 2.5, 4.1)</f>
        <v>0.75</v>
      </c>
      <c r="C35" s="253" t="s">
        <v>1</v>
      </c>
      <c r="D35" s="241">
        <f>B35</f>
        <v>0.75</v>
      </c>
      <c r="E35" s="151" t="s">
        <v>405</v>
      </c>
      <c r="F35" s="238"/>
      <c r="G35" s="238"/>
      <c r="H35" s="150">
        <v>29</v>
      </c>
      <c r="I35" s="397">
        <f t="shared" si="0"/>
        <v>2.8999999999999998E-2</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5">
      <c r="A36" s="264" t="s">
        <v>414</v>
      </c>
      <c r="B36" s="275">
        <f>B35/5</f>
        <v>0.15</v>
      </c>
      <c r="C36" s="253" t="s">
        <v>1</v>
      </c>
      <c r="D36" s="241">
        <f>B36</f>
        <v>0.15</v>
      </c>
      <c r="E36" s="151" t="s">
        <v>415</v>
      </c>
      <c r="F36" s="238"/>
      <c r="G36" s="238"/>
      <c r="H36" s="150">
        <v>30</v>
      </c>
      <c r="I36" s="397">
        <f t="shared" si="0"/>
        <v>0.03</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8" thickBot="1" x14ac:dyDescent="0.3">
      <c r="A37" s="264" t="s">
        <v>693</v>
      </c>
      <c r="B37" s="555">
        <v>30</v>
      </c>
      <c r="C37" s="150" t="s">
        <v>32</v>
      </c>
      <c r="D37" s="150">
        <f>B37*0.000000001</f>
        <v>3.0000000000000004E-8</v>
      </c>
      <c r="E37" s="150" t="s">
        <v>694</v>
      </c>
      <c r="F37" s="238"/>
      <c r="G37" s="238"/>
      <c r="H37" s="150">
        <v>31</v>
      </c>
      <c r="I37" s="397">
        <f t="shared" si="0"/>
        <v>3.1E-2</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8" thickBot="1" x14ac:dyDescent="0.3">
      <c r="A38" s="276" t="s">
        <v>47</v>
      </c>
      <c r="B38" s="461">
        <v>1</v>
      </c>
      <c r="C38" s="253"/>
      <c r="D38" s="241">
        <f>B38</f>
        <v>1</v>
      </c>
      <c r="E38" s="151" t="s">
        <v>416</v>
      </c>
      <c r="H38" s="150">
        <v>32</v>
      </c>
      <c r="I38" s="397">
        <f t="shared" ref="I38:I69" si="24">IF(PLOT_TYPE=1, H38/100*Iout_max, min_I*EXP(H38*rr/100))</f>
        <v>3.2000000000000001E-2</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5">
      <c r="A39" s="264" t="s">
        <v>24</v>
      </c>
      <c r="B39" s="277">
        <v>290</v>
      </c>
      <c r="C39" s="253" t="s">
        <v>265</v>
      </c>
      <c r="D39" s="255">
        <f>B39/1000000</f>
        <v>2.9E-4</v>
      </c>
      <c r="E39" s="151" t="s">
        <v>488</v>
      </c>
      <c r="H39" s="150">
        <v>33</v>
      </c>
      <c r="I39" s="397">
        <f t="shared" si="24"/>
        <v>3.3000000000000002E-2</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8" thickBot="1" x14ac:dyDescent="0.3">
      <c r="A40" s="273" t="s">
        <v>398</v>
      </c>
      <c r="B40" s="278"/>
      <c r="C40" s="273" t="s">
        <v>33</v>
      </c>
      <c r="D40" s="273" t="s">
        <v>90</v>
      </c>
      <c r="E40" s="279" t="s">
        <v>41</v>
      </c>
      <c r="H40" s="150">
        <v>34</v>
      </c>
      <c r="I40" s="397">
        <f t="shared" si="24"/>
        <v>3.4000000000000002E-2</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5">
      <c r="A41" s="280" t="s">
        <v>399</v>
      </c>
      <c r="B41" s="281">
        <f>CHOOSE(VARIANT, 350, 350, 350, 110, 110)</f>
        <v>350</v>
      </c>
      <c r="C41" s="247" t="s">
        <v>258</v>
      </c>
      <c r="D41" s="151">
        <f>B41/1000</f>
        <v>0.35</v>
      </c>
      <c r="E41" s="151" t="s">
        <v>403</v>
      </c>
      <c r="H41" s="150">
        <v>35</v>
      </c>
      <c r="I41" s="397">
        <f t="shared" si="24"/>
        <v>3.4999999999999996E-2</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8" thickBot="1" x14ac:dyDescent="0.3">
      <c r="A42" s="150" t="s">
        <v>687</v>
      </c>
      <c r="B42" s="150">
        <v>4500</v>
      </c>
      <c r="C42" s="552" t="s">
        <v>688</v>
      </c>
      <c r="D42" s="151">
        <f>B42/1000000</f>
        <v>4.4999999999999997E-3</v>
      </c>
      <c r="E42" s="553" t="s">
        <v>689</v>
      </c>
      <c r="H42" s="150">
        <v>36</v>
      </c>
      <c r="I42" s="397">
        <f t="shared" si="24"/>
        <v>3.5999999999999997E-2</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8" thickBot="1" x14ac:dyDescent="0.3">
      <c r="A43" s="264" t="s">
        <v>266</v>
      </c>
      <c r="B43" s="282"/>
      <c r="C43" s="150" t="s">
        <v>267</v>
      </c>
      <c r="D43" s="151"/>
      <c r="E43" s="151" t="s">
        <v>266</v>
      </c>
      <c r="H43" s="150">
        <v>37</v>
      </c>
      <c r="I43" s="397">
        <f t="shared" si="24"/>
        <v>3.6999999999999998E-2</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8" thickBot="1" x14ac:dyDescent="0.3">
      <c r="A44" s="264" t="s">
        <v>400</v>
      </c>
      <c r="B44" s="281">
        <f>CHOOSE(VARIANT, 2.5, 2.5, 2.5, 10, 10)</f>
        <v>2.5</v>
      </c>
      <c r="C44" s="253" t="s">
        <v>31</v>
      </c>
      <c r="D44" s="151">
        <f>B44/1000000000</f>
        <v>2.5000000000000001E-9</v>
      </c>
      <c r="E44" s="151" t="s">
        <v>402</v>
      </c>
      <c r="H44" s="150">
        <v>38</v>
      </c>
      <c r="I44" s="397">
        <f t="shared" si="24"/>
        <v>3.8000000000000006E-2</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8" thickBot="1" x14ac:dyDescent="0.3">
      <c r="A45" s="264" t="s">
        <v>240</v>
      </c>
      <c r="B45" s="281">
        <f>CHOOSE(VARIANT, 50, 50, 50, 200, 200)</f>
        <v>50</v>
      </c>
      <c r="C45" s="253" t="s">
        <v>15</v>
      </c>
      <c r="D45" s="283">
        <f>B45/1000000000000</f>
        <v>5.0000000000000002E-11</v>
      </c>
      <c r="E45" s="151" t="s">
        <v>327</v>
      </c>
      <c r="H45" s="150">
        <v>39</v>
      </c>
      <c r="I45" s="397">
        <f t="shared" si="24"/>
        <v>3.9000000000000007E-2</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5">
      <c r="A46" s="280" t="s">
        <v>326</v>
      </c>
      <c r="B46" s="281">
        <f>CHOOSE(VARIANT, 50, 50, 50, 250, 250)</f>
        <v>50</v>
      </c>
      <c r="C46" s="253" t="s">
        <v>15</v>
      </c>
      <c r="D46" s="255">
        <f>B46/1000000000000</f>
        <v>5.0000000000000002E-11</v>
      </c>
      <c r="E46" s="151" t="s">
        <v>479</v>
      </c>
      <c r="H46" s="150">
        <v>40</v>
      </c>
      <c r="I46" s="397">
        <f t="shared" si="24"/>
        <v>4.0000000000000008E-2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8" thickBot="1" x14ac:dyDescent="0.3">
      <c r="A47" s="273" t="s">
        <v>404</v>
      </c>
      <c r="B47" s="284"/>
      <c r="C47" s="273" t="s">
        <v>33</v>
      </c>
      <c r="D47" s="273" t="s">
        <v>90</v>
      </c>
      <c r="E47" s="285" t="s">
        <v>41</v>
      </c>
      <c r="H47" s="150">
        <v>41</v>
      </c>
      <c r="I47" s="397">
        <f t="shared" si="24"/>
        <v>4.1000000000000002E-2</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8" thickBot="1" x14ac:dyDescent="0.3">
      <c r="A48" s="280" t="s">
        <v>659</v>
      </c>
      <c r="B48" s="281">
        <f>'LM(2)518x PSR flyback converter'!E42</f>
        <v>0.32</v>
      </c>
      <c r="C48" s="151" t="s">
        <v>0</v>
      </c>
      <c r="D48" s="151">
        <f>B48</f>
        <v>0.32</v>
      </c>
      <c r="E48" s="151" t="s">
        <v>658</v>
      </c>
      <c r="H48" s="150">
        <v>42</v>
      </c>
      <c r="I48" s="397">
        <f t="shared" si="24"/>
        <v>4.2000000000000003E-2</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8" thickBot="1" x14ac:dyDescent="0.3">
      <c r="A49" s="280" t="s">
        <v>660</v>
      </c>
      <c r="B49" s="281">
        <f>'LM(2)518x PSR flyback converter'!E43</f>
        <v>0.4</v>
      </c>
      <c r="C49" s="151" t="s">
        <v>0</v>
      </c>
      <c r="D49" s="151">
        <f>B49</f>
        <v>0.4</v>
      </c>
      <c r="E49" s="151" t="s">
        <v>657</v>
      </c>
      <c r="H49" s="150">
        <v>43</v>
      </c>
      <c r="I49" s="397">
        <f t="shared" si="24"/>
        <v>4.3000000000000003E-2</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8" thickBot="1" x14ac:dyDescent="0.3">
      <c r="A50" s="280" t="s">
        <v>268</v>
      </c>
      <c r="B50" s="281">
        <f>(B49-B48)/Iout</f>
        <v>0.80000000000000016</v>
      </c>
      <c r="C50" s="247" t="s">
        <v>45</v>
      </c>
      <c r="D50" s="151">
        <f>B50</f>
        <v>0.80000000000000016</v>
      </c>
      <c r="E50" s="151" t="s">
        <v>811</v>
      </c>
      <c r="H50" s="150">
        <v>44</v>
      </c>
      <c r="I50" s="397">
        <f t="shared" si="24"/>
        <v>4.4000000000000004E-2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8" thickBot="1" x14ac:dyDescent="0.3">
      <c r="A51" s="264" t="s">
        <v>407</v>
      </c>
      <c r="B51" s="281">
        <v>2</v>
      </c>
      <c r="C51" s="253" t="s">
        <v>31</v>
      </c>
      <c r="D51" s="255">
        <f>B51*0.000000001</f>
        <v>2.0000000000000001E-9</v>
      </c>
      <c r="E51" s="151" t="s">
        <v>269</v>
      </c>
      <c r="H51" s="150">
        <v>45</v>
      </c>
      <c r="I51" s="397">
        <f t="shared" si="24"/>
        <v>4.5000000000000005E-2</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8" thickBot="1" x14ac:dyDescent="0.3">
      <c r="A52" s="264" t="s">
        <v>408</v>
      </c>
      <c r="B52" s="281">
        <v>10</v>
      </c>
      <c r="C52" s="253" t="s">
        <v>32</v>
      </c>
      <c r="D52" s="255">
        <f>B52*0.000000001</f>
        <v>1E-8</v>
      </c>
      <c r="E52" s="151" t="s">
        <v>270</v>
      </c>
      <c r="H52" s="150">
        <v>46</v>
      </c>
      <c r="I52" s="397">
        <f t="shared" si="24"/>
        <v>4.6000000000000006E-2</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5">
      <c r="A53" s="280" t="s">
        <v>497</v>
      </c>
      <c r="B53" s="281">
        <v>0</v>
      </c>
      <c r="C53" s="151" t="s">
        <v>271</v>
      </c>
      <c r="D53" s="255">
        <f>B53/1000000</f>
        <v>0</v>
      </c>
      <c r="E53" s="151" t="s">
        <v>272</v>
      </c>
      <c r="H53" s="150">
        <v>47</v>
      </c>
      <c r="I53" s="397">
        <f t="shared" si="24"/>
        <v>4.7E-2</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5">
      <c r="A54" s="150" t="s">
        <v>691</v>
      </c>
      <c r="B54" s="175">
        <f>'LM(2)518x PSR flyback converter'!E44</f>
        <v>41</v>
      </c>
      <c r="C54" s="552" t="s">
        <v>84</v>
      </c>
      <c r="D54" s="175">
        <f>B54</f>
        <v>41</v>
      </c>
      <c r="E54" s="150" t="s">
        <v>690</v>
      </c>
      <c r="H54" s="150">
        <v>48</v>
      </c>
      <c r="I54" s="397">
        <f t="shared" si="24"/>
        <v>4.8000000000000001E-2</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5">
      <c r="H55" s="150">
        <v>49</v>
      </c>
      <c r="I55" s="397">
        <f t="shared" si="24"/>
        <v>4.9000000000000002E-2</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5">
      <c r="H56" s="150">
        <v>50</v>
      </c>
      <c r="I56" s="397">
        <f t="shared" si="24"/>
        <v>0.05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5">
      <c r="H57" s="150">
        <v>51</v>
      </c>
      <c r="I57" s="397">
        <f t="shared" si="24"/>
        <v>5.1000000000000004E-2</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5">
      <c r="H58" s="150">
        <v>52</v>
      </c>
      <c r="I58" s="397">
        <f t="shared" si="24"/>
        <v>5.2000000000000005E-2</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5">
      <c r="H59" s="150">
        <v>53</v>
      </c>
      <c r="I59" s="397">
        <f t="shared" si="24"/>
        <v>5.3000000000000005E-2</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5">
      <c r="H60" s="150">
        <v>54</v>
      </c>
      <c r="I60" s="397">
        <f t="shared" si="24"/>
        <v>5.4000000000000006E-2</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5">
      <c r="H61" s="150">
        <v>55</v>
      </c>
      <c r="I61" s="397">
        <f t="shared" si="24"/>
        <v>5.5000000000000007E-2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5">
      <c r="H62" s="150">
        <v>56</v>
      </c>
      <c r="I62" s="397">
        <f t="shared" si="24"/>
        <v>5.6000000000000008E-2</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5">
      <c r="F63" s="263" t="s">
        <v>273</v>
      </c>
      <c r="G63" s="263" t="s">
        <v>274</v>
      </c>
      <c r="H63" s="150">
        <v>57</v>
      </c>
      <c r="I63" s="397">
        <f t="shared" si="24"/>
        <v>5.6999999999999995E-2</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5">
      <c r="F64" s="286">
        <f>BM56</f>
        <v>0</v>
      </c>
      <c r="G64" s="287">
        <f>I56*1000</f>
        <v>50</v>
      </c>
      <c r="H64" s="150">
        <v>58</v>
      </c>
      <c r="I64" s="397">
        <f t="shared" si="24"/>
        <v>5.7999999999999996E-2</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5">
      <c r="F65" s="286">
        <f>BM81</f>
        <v>0</v>
      </c>
      <c r="G65" s="287">
        <f>I81*1000</f>
        <v>75.000000000000014</v>
      </c>
      <c r="H65" s="150">
        <v>59</v>
      </c>
      <c r="I65" s="397">
        <f t="shared" si="24"/>
        <v>5.8999999999999997E-2</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5">
      <c r="F66" s="286">
        <f>BM106</f>
        <v>100</v>
      </c>
      <c r="G66" s="287">
        <f>I106*1000</f>
        <v>100</v>
      </c>
      <c r="H66" s="150">
        <v>60</v>
      </c>
      <c r="I66" s="397">
        <f t="shared" si="24"/>
        <v>0.06</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5">
      <c r="H67" s="150">
        <v>61</v>
      </c>
      <c r="I67" s="397">
        <f t="shared" si="24"/>
        <v>6.0999999999999999E-2</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5">
      <c r="H68" s="150">
        <v>62</v>
      </c>
      <c r="I68" s="397">
        <f t="shared" si="24"/>
        <v>6.2E-2</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5">
      <c r="H69" s="150">
        <v>63</v>
      </c>
      <c r="I69" s="397">
        <f t="shared" si="24"/>
        <v>6.3E-2</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5">
      <c r="H70" s="150">
        <v>64</v>
      </c>
      <c r="I70" s="397">
        <f t="shared" ref="I70:I101" si="25">IF(PLOT_TYPE=1, H70/100*Iout_max, min_I*EXP(H70*rr/100))</f>
        <v>6.4000000000000001E-2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5">
      <c r="H71" s="150">
        <v>65</v>
      </c>
      <c r="I71" s="397">
        <f t="shared" si="25"/>
        <v>6.5000000000000002E-2</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5">
      <c r="H72" s="150">
        <v>66</v>
      </c>
      <c r="I72" s="397">
        <f t="shared" si="25"/>
        <v>6.6000000000000003E-2</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5">
      <c r="H73" s="150">
        <v>67</v>
      </c>
      <c r="I73" s="397">
        <f t="shared" si="25"/>
        <v>6.7000000000000004E-2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5">
      <c r="H74" s="150">
        <v>68</v>
      </c>
      <c r="I74" s="397">
        <f t="shared" si="25"/>
        <v>6.8000000000000005E-2</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5">
      <c r="H75" s="150">
        <v>69</v>
      </c>
      <c r="I75" s="397">
        <f t="shared" si="25"/>
        <v>6.8999999999999992E-2</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5">
      <c r="H76" s="150">
        <v>70</v>
      </c>
      <c r="I76" s="397">
        <f t="shared" si="25"/>
        <v>6.9999999999999993E-2</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5">
      <c r="H77" s="150">
        <v>71</v>
      </c>
      <c r="I77" s="397">
        <f t="shared" si="25"/>
        <v>7.0999999999999994E-2</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5">
      <c r="H78" s="150">
        <v>72</v>
      </c>
      <c r="I78" s="397">
        <f t="shared" si="25"/>
        <v>7.1999999999999995E-2</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5">
      <c r="H79" s="150">
        <v>73</v>
      </c>
      <c r="I79" s="397">
        <f t="shared" si="25"/>
        <v>7.2999999999999995E-2</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5">
      <c r="H80" s="150">
        <v>74</v>
      </c>
      <c r="I80" s="397">
        <f t="shared" si="25"/>
        <v>7.3999999999999996E-2</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5">
      <c r="H81" s="150">
        <v>75</v>
      </c>
      <c r="I81" s="397">
        <f t="shared" si="25"/>
        <v>7.5000000000000011E-2</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5">
      <c r="H82" s="150">
        <v>76</v>
      </c>
      <c r="I82" s="397">
        <f t="shared" si="25"/>
        <v>7.6000000000000012E-2</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5">
      <c r="H83" s="150">
        <v>77</v>
      </c>
      <c r="I83" s="397">
        <f t="shared" si="25"/>
        <v>7.7000000000000013E-2</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5">
      <c r="H84" s="150">
        <v>78</v>
      </c>
      <c r="I84" s="397">
        <f t="shared" si="25"/>
        <v>7.8000000000000014E-2</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5">
      <c r="H85" s="150">
        <v>79</v>
      </c>
      <c r="I85" s="397">
        <f t="shared" si="25"/>
        <v>7.9000000000000015E-2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5">
      <c r="H86" s="150">
        <v>80</v>
      </c>
      <c r="I86" s="397">
        <f t="shared" si="25"/>
        <v>8.0000000000000016E-2</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5">
      <c r="H87" s="150">
        <v>81</v>
      </c>
      <c r="I87" s="397">
        <f t="shared" si="25"/>
        <v>8.1000000000000016E-2</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5">
      <c r="F88" s="263" t="s">
        <v>273</v>
      </c>
      <c r="G88" s="263" t="s">
        <v>274</v>
      </c>
      <c r="H88" s="150">
        <v>82</v>
      </c>
      <c r="I88" s="397">
        <f t="shared" si="25"/>
        <v>8.2000000000000003E-2</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5">
      <c r="F89" s="286">
        <f>BO51</f>
        <v>0</v>
      </c>
      <c r="G89" s="287">
        <f>I56*1000</f>
        <v>50</v>
      </c>
      <c r="H89" s="150">
        <v>83</v>
      </c>
      <c r="I89" s="397">
        <f t="shared" si="25"/>
        <v>8.3000000000000004E-2</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5">
      <c r="F90" s="286">
        <f>BO81</f>
        <v>0</v>
      </c>
      <c r="G90" s="287">
        <f>I81*1000</f>
        <v>75.000000000000014</v>
      </c>
      <c r="H90" s="150">
        <v>84</v>
      </c>
      <c r="I90" s="397">
        <f t="shared" si="25"/>
        <v>8.4000000000000005E-2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5">
      <c r="F91" s="286">
        <f>BO106</f>
        <v>88.698181382326453</v>
      </c>
      <c r="G91" s="287">
        <f>I106*1000</f>
        <v>100</v>
      </c>
      <c r="H91" s="150">
        <v>85</v>
      </c>
      <c r="I91" s="397">
        <f t="shared" si="25"/>
        <v>8.5000000000000006E-2</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5">
      <c r="H92" s="150">
        <v>86</v>
      </c>
      <c r="I92" s="397">
        <f t="shared" si="25"/>
        <v>8.6000000000000007E-2</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5">
      <c r="H93" s="150">
        <v>87</v>
      </c>
      <c r="I93" s="397">
        <f t="shared" si="25"/>
        <v>8.7000000000000008E-2</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5">
      <c r="H94" s="150">
        <v>88</v>
      </c>
      <c r="I94" s="397">
        <f t="shared" si="25"/>
        <v>8.8000000000000009E-2</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5">
      <c r="H95" s="150">
        <v>89</v>
      </c>
      <c r="I95" s="397">
        <f t="shared" si="25"/>
        <v>8.900000000000001E-2</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5">
      <c r="H96" s="150">
        <v>90</v>
      </c>
      <c r="I96" s="397">
        <f t="shared" si="25"/>
        <v>9.0000000000000011E-2</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5">
      <c r="H97" s="150">
        <v>91</v>
      </c>
      <c r="I97" s="397">
        <f t="shared" si="25"/>
        <v>9.1000000000000011E-2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5">
      <c r="H98" s="150">
        <v>92</v>
      </c>
      <c r="I98" s="397">
        <f t="shared" si="25"/>
        <v>9.2000000000000012E-2</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5">
      <c r="H99" s="150">
        <v>93</v>
      </c>
      <c r="I99" s="397">
        <f t="shared" si="25"/>
        <v>9.3000000000000013E-2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5">
      <c r="H100" s="150">
        <v>94</v>
      </c>
      <c r="I100" s="397">
        <f t="shared" si="25"/>
        <v>9.4E-2</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5">
      <c r="H101" s="150">
        <v>95</v>
      </c>
      <c r="I101" s="397">
        <f t="shared" si="25"/>
        <v>9.5000000000000001E-2</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5">
      <c r="H102" s="150">
        <v>96</v>
      </c>
      <c r="I102" s="397">
        <f t="shared" ref="I102:I106" si="26">IF(PLOT_TYPE=1, H102/100*Iout_max, min_I*EXP(H102*rr/100))</f>
        <v>9.6000000000000002E-2</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5">
      <c r="H103" s="150">
        <v>97</v>
      </c>
      <c r="I103" s="397">
        <f t="shared" si="26"/>
        <v>9.7000000000000003E-2</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5">
      <c r="H104" s="150">
        <v>98</v>
      </c>
      <c r="I104" s="397">
        <f t="shared" si="26"/>
        <v>9.8000000000000004E-2</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5">
      <c r="H105" s="150">
        <v>99</v>
      </c>
      <c r="I105" s="397">
        <f t="shared" si="26"/>
        <v>9.9000000000000005E-2</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5">
      <c r="H106" s="150">
        <v>100</v>
      </c>
      <c r="I106" s="397">
        <f t="shared" si="26"/>
        <v>0.1</v>
      </c>
      <c r="J106" s="191"/>
      <c r="K106" s="191"/>
      <c r="L106" s="191"/>
      <c r="M106" s="191"/>
      <c r="N106" s="239"/>
      <c r="O106" s="152"/>
      <c r="P106" s="191"/>
      <c r="Q106" s="386"/>
      <c r="S106" s="240"/>
      <c r="T106" s="240"/>
      <c r="U106" s="240"/>
      <c r="AJ106" s="386"/>
      <c r="AY106" s="190">
        <f>Vout*I106</f>
        <v>1.5</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100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5">
      <c r="BQ107" s="242"/>
      <c r="BR107" s="243"/>
      <c r="BS107" s="243"/>
      <c r="BT107" s="243"/>
      <c r="BX107" s="193"/>
      <c r="BY107" s="193"/>
    </row>
    <row r="108" spans="8:81" x14ac:dyDescent="0.25">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5">
      <c r="H109" s="238">
        <f>Iout_max</f>
        <v>0.1</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5">
      <c r="H110" s="238">
        <f>LOG(max_I/min_I,EXP(1))</f>
        <v>9.2103403719761836</v>
      </c>
      <c r="I110" s="191"/>
      <c r="J110" s="190" t="s">
        <v>278</v>
      </c>
    </row>
    <row r="111" spans="8:81" x14ac:dyDescent="0.25">
      <c r="AZ111" s="289"/>
      <c r="BA111" s="306"/>
      <c r="BB111" s="306"/>
      <c r="BC111" s="306"/>
      <c r="BD111" s="306"/>
      <c r="BE111" s="306"/>
      <c r="BF111" s="306"/>
      <c r="BG111" s="306"/>
      <c r="BH111" s="306"/>
      <c r="BI111" s="306"/>
      <c r="BJ111" s="306"/>
    </row>
    <row r="112" spans="8:81" x14ac:dyDescent="0.25">
      <c r="J112" s="290"/>
      <c r="R112" s="291"/>
      <c r="S112" s="291"/>
      <c r="T112" s="291"/>
      <c r="U112" s="291"/>
      <c r="V112" s="292"/>
    </row>
    <row r="113" spans="10:22" x14ac:dyDescent="0.25">
      <c r="J113" s="290"/>
      <c r="R113" s="291"/>
      <c r="S113" s="291"/>
      <c r="T113" s="291"/>
      <c r="U113" s="291"/>
      <c r="V113" s="292"/>
    </row>
    <row r="114" spans="10:22" x14ac:dyDescent="0.25">
      <c r="R114" s="291"/>
      <c r="S114" s="291"/>
      <c r="T114" s="291"/>
      <c r="U114" s="291"/>
      <c r="V114" s="292"/>
    </row>
    <row r="116" spans="10:22" x14ac:dyDescent="0.25">
      <c r="R116" s="291"/>
      <c r="S116" s="291"/>
      <c r="T116" s="291"/>
      <c r="U116" s="291"/>
      <c r="V116" s="292"/>
    </row>
    <row r="126" spans="10:22" x14ac:dyDescent="0.25">
      <c r="J126" s="150"/>
    </row>
    <row r="127" spans="10:22" x14ac:dyDescent="0.25">
      <c r="J127" s="150"/>
    </row>
    <row r="128" spans="10:22" x14ac:dyDescent="0.25">
      <c r="J128" s="150"/>
    </row>
    <row r="129" spans="10:10" x14ac:dyDescent="0.25">
      <c r="J129" s="191"/>
    </row>
    <row r="130" spans="10:10" x14ac:dyDescent="0.25">
      <c r="J130" s="191"/>
    </row>
    <row r="131" spans="10:10" x14ac:dyDescent="0.25">
      <c r="J131" s="191"/>
    </row>
    <row r="132" spans="10:10" x14ac:dyDescent="0.25">
      <c r="J132" s="191"/>
    </row>
    <row r="133" spans="10:10" x14ac:dyDescent="0.25">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182880</xdr:colOff>
                <xdr:row>111</xdr:row>
                <xdr:rowOff>144780</xdr:rowOff>
              </from>
              <to>
                <xdr:col>36</xdr:col>
                <xdr:colOff>22860</xdr:colOff>
                <xdr:row>125</xdr:row>
                <xdr:rowOff>144780</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3.2" x14ac:dyDescent="0.25"/>
  <cols>
    <col min="2" max="2" width="126.44140625" customWidth="1"/>
  </cols>
  <sheetData>
    <row r="2" spans="1:2" ht="17.25" customHeight="1" x14ac:dyDescent="0.25">
      <c r="A2" s="59" t="str">
        <f>CHOOSE(MODE, "EFF_SINGLE", "EFF_DUAL")</f>
        <v>EFF_SINGLE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3.2" x14ac:dyDescent="0.25"/>
  <cols>
    <col min="2" max="2" width="126.44140625" customWidth="1"/>
  </cols>
  <sheetData>
    <row r="2" spans="1:2" ht="17.25" customHeight="1" x14ac:dyDescent="0.25">
      <c r="A2" s="59" t="str">
        <f>CHOOSE(MODE, "Fsw_SINGLE", "Fsw_DUAL")</f>
        <v>Fsw_SINGLE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3.2" x14ac:dyDescent="0.25"/>
  <cols>
    <col min="1" max="1" width="12.6640625" style="312" customWidth="1"/>
    <col min="2" max="2" width="124.6640625" customWidth="1"/>
    <col min="3" max="4" width="9.33203125" style="312"/>
    <col min="5" max="5" width="124.6640625" customWidth="1"/>
    <col min="8" max="8" width="124.6640625" style="312" customWidth="1"/>
  </cols>
  <sheetData>
    <row r="2" spans="1:6" x14ac:dyDescent="0.25">
      <c r="A2" s="312" t="str">
        <f>'Variable Mgmt'!K52</f>
        <v>SCH_SINGLE_UVLOadj_SSadj_TCyes</v>
      </c>
    </row>
    <row r="5" spans="1:6" s="312" customFormat="1" ht="13.5" customHeight="1" x14ac:dyDescent="0.25"/>
    <row r="6" spans="1:6" s="312" customFormat="1" ht="16.5" customHeight="1" x14ac:dyDescent="0.25"/>
    <row r="7" spans="1:6" ht="357" customHeight="1" x14ac:dyDescent="0.25">
      <c r="E7" s="331"/>
    </row>
    <row r="8" spans="1:6" s="312" customFormat="1" ht="17.25" customHeight="1" x14ac:dyDescent="0.25"/>
    <row r="9" spans="1:6" ht="357" customHeight="1" x14ac:dyDescent="0.25">
      <c r="B9" s="59"/>
      <c r="E9" s="331"/>
      <c r="F9" s="312"/>
    </row>
    <row r="10" spans="1:6" s="312" customFormat="1" x14ac:dyDescent="0.25"/>
    <row r="11" spans="1:6" ht="357" customHeight="1" x14ac:dyDescent="0.25">
      <c r="B11" s="331"/>
      <c r="E11" s="312"/>
      <c r="F11" s="312"/>
    </row>
    <row r="12" spans="1:6" x14ac:dyDescent="0.25">
      <c r="B12" s="312"/>
      <c r="E12" s="312"/>
      <c r="F12" s="312"/>
    </row>
    <row r="13" spans="1:6" ht="357" customHeight="1" x14ac:dyDescent="0.25">
      <c r="B13" s="331"/>
      <c r="E13" s="312"/>
      <c r="F13" s="312"/>
    </row>
    <row r="14" spans="1:6" x14ac:dyDescent="0.25">
      <c r="B14" s="312"/>
      <c r="E14" s="312"/>
      <c r="F14" s="312"/>
    </row>
    <row r="15" spans="1:6" ht="357" customHeight="1" x14ac:dyDescent="0.25">
      <c r="E15" s="312"/>
      <c r="F15" s="312"/>
    </row>
    <row r="16" spans="1:6" x14ac:dyDescent="0.25">
      <c r="B16" s="312"/>
      <c r="E16" s="312"/>
    </row>
    <row r="17" spans="2:6" ht="357" customHeight="1" x14ac:dyDescent="0.25">
      <c r="B17" s="331"/>
      <c r="E17" s="312"/>
      <c r="F17" s="312"/>
    </row>
    <row r="18" spans="2:6" ht="12" customHeight="1" x14ac:dyDescent="0.25">
      <c r="B18" s="312"/>
      <c r="E18" s="312"/>
    </row>
    <row r="19" spans="2:6" ht="357" customHeight="1" x14ac:dyDescent="0.25">
      <c r="B19" s="312"/>
      <c r="E19" s="312"/>
    </row>
    <row r="20" spans="2:6" ht="13.5" customHeight="1" x14ac:dyDescent="0.25">
      <c r="B20" s="312"/>
      <c r="E20" s="312"/>
    </row>
    <row r="21" spans="2:6" ht="357" customHeight="1" x14ac:dyDescent="0.25">
      <c r="B21" s="312"/>
      <c r="E21" s="312"/>
    </row>
    <row r="22" spans="2:6" x14ac:dyDescent="0.25">
      <c r="B22" s="312"/>
      <c r="E22" s="312"/>
    </row>
    <row r="23" spans="2:6" ht="357" customHeight="1" x14ac:dyDescent="0.25">
      <c r="B23" s="312"/>
      <c r="E23" s="312"/>
    </row>
    <row r="24" spans="2:6" x14ac:dyDescent="0.25">
      <c r="B24" s="312"/>
      <c r="E24" s="312"/>
    </row>
    <row r="25" spans="2:6" ht="327.75" customHeight="1" x14ac:dyDescent="0.25">
      <c r="B25" s="312"/>
      <c r="E25" s="312"/>
    </row>
    <row r="26" spans="2:6" x14ac:dyDescent="0.25">
      <c r="E26" s="312"/>
    </row>
    <row r="27" spans="2:6" ht="327.60000000000002" customHeight="1" x14ac:dyDescent="0.25">
      <c r="B27" s="312"/>
      <c r="E27" s="312"/>
    </row>
    <row r="28" spans="2:6" x14ac:dyDescent="0.25">
      <c r="B28" s="312"/>
      <c r="E28" s="312"/>
    </row>
    <row r="29" spans="2:6" ht="327.75" customHeight="1" x14ac:dyDescent="0.25">
      <c r="B29" s="312"/>
      <c r="E29" s="312"/>
    </row>
    <row r="30" spans="2:6" ht="13.5" customHeight="1" x14ac:dyDescent="0.25">
      <c r="B30" s="312"/>
      <c r="E30" s="312"/>
    </row>
    <row r="31" spans="2:6" ht="327.75" customHeight="1" x14ac:dyDescent="0.25">
      <c r="B31" s="312"/>
      <c r="E31" s="312"/>
    </row>
    <row r="32" spans="2:6" ht="13.5" customHeight="1" x14ac:dyDescent="0.25">
      <c r="B32" s="312"/>
      <c r="E32" s="312"/>
    </row>
    <row r="33" spans="2:20" ht="327.75" customHeight="1" x14ac:dyDescent="0.25">
      <c r="B33" s="312"/>
      <c r="E33" s="312"/>
    </row>
    <row r="34" spans="2:20" ht="13.5" customHeight="1" x14ac:dyDescent="0.25">
      <c r="B34" s="312"/>
      <c r="E34" s="312"/>
    </row>
    <row r="35" spans="2:20" ht="327.60000000000002" customHeight="1" x14ac:dyDescent="0.25">
      <c r="B35" s="312"/>
      <c r="E35" s="312"/>
    </row>
    <row r="36" spans="2:20" ht="13.5" customHeight="1" x14ac:dyDescent="0.25">
      <c r="B36" s="312"/>
      <c r="E36" s="312"/>
    </row>
    <row r="37" spans="2:20" ht="327.75" customHeight="1" x14ac:dyDescent="0.25">
      <c r="B37" s="312"/>
      <c r="E37" s="312"/>
    </row>
    <row r="38" spans="2:20" ht="13.5" customHeight="1" x14ac:dyDescent="0.4">
      <c r="B38" s="312"/>
      <c r="E38" s="312"/>
      <c r="G38" s="313"/>
    </row>
    <row r="39" spans="2:20" ht="327.75" customHeight="1" x14ac:dyDescent="0.25">
      <c r="B39" s="312"/>
      <c r="E39" s="312"/>
    </row>
    <row r="40" spans="2:20" x14ac:dyDescent="0.25">
      <c r="B40" s="312"/>
      <c r="E40" s="312"/>
      <c r="Q40" s="9"/>
      <c r="S40" s="9"/>
      <c r="T40" s="9"/>
    </row>
    <row r="41" spans="2:20" ht="327.75" customHeight="1" x14ac:dyDescent="0.25">
      <c r="B41" s="312"/>
      <c r="E41" s="312"/>
      <c r="Q41" s="9"/>
      <c r="S41" s="9"/>
    </row>
    <row r="42" spans="2:20" x14ac:dyDescent="0.25">
      <c r="B42" s="312"/>
      <c r="E42" s="312"/>
      <c r="Q42" s="9"/>
      <c r="S42" s="9"/>
    </row>
    <row r="43" spans="2:20" ht="327.75" customHeight="1" x14ac:dyDescent="0.25">
      <c r="B43" s="312"/>
      <c r="E43" s="312"/>
      <c r="Q43" s="9"/>
      <c r="S43" s="9"/>
    </row>
    <row r="44" spans="2:20" x14ac:dyDescent="0.25">
      <c r="B44" s="312"/>
      <c r="E44" s="312"/>
      <c r="Q44" s="9"/>
      <c r="S44" s="9"/>
    </row>
    <row r="45" spans="2:20" ht="327.75" customHeight="1" x14ac:dyDescent="0.25">
      <c r="B45" s="312"/>
      <c r="E45" s="312"/>
      <c r="Q45" s="9"/>
      <c r="S45" s="9"/>
    </row>
    <row r="46" spans="2:20" x14ac:dyDescent="0.25">
      <c r="B46" s="312"/>
      <c r="E46" s="312"/>
      <c r="Q46" s="9"/>
      <c r="S46" s="9"/>
    </row>
    <row r="47" spans="2:20" ht="327.75" customHeight="1" x14ac:dyDescent="0.25">
      <c r="B47" s="312"/>
      <c r="E47" s="312"/>
      <c r="Q47" s="9"/>
      <c r="S47" s="314"/>
    </row>
    <row r="48" spans="2:20" x14ac:dyDescent="0.25">
      <c r="B48" s="312"/>
      <c r="E48" s="312"/>
      <c r="Q48" s="9"/>
      <c r="S48" s="9"/>
    </row>
    <row r="49" spans="2:19" ht="327.75" customHeight="1" x14ac:dyDescent="0.25">
      <c r="B49" s="312"/>
      <c r="E49" s="312"/>
      <c r="Q49" s="9"/>
      <c r="S49" s="9"/>
    </row>
    <row r="50" spans="2:19" x14ac:dyDescent="0.25">
      <c r="B50" s="312"/>
      <c r="E50" s="312"/>
      <c r="Q50" s="9"/>
      <c r="S50" s="9"/>
    </row>
    <row r="51" spans="2:19" x14ac:dyDescent="0.25">
      <c r="B51" s="312"/>
      <c r="E51" s="312"/>
      <c r="Q51" s="9"/>
      <c r="S51" s="9"/>
    </row>
    <row r="52" spans="2:19" x14ac:dyDescent="0.25">
      <c r="B52" s="312"/>
      <c r="E52" s="312"/>
      <c r="Q52" s="9"/>
      <c r="S52" s="9"/>
    </row>
    <row r="53" spans="2:19" x14ac:dyDescent="0.25">
      <c r="B53" s="312"/>
      <c r="E53" s="312"/>
    </row>
    <row r="54" spans="2:19" x14ac:dyDescent="0.25">
      <c r="B54" s="312"/>
      <c r="E54" s="312"/>
    </row>
    <row r="55" spans="2:19" x14ac:dyDescent="0.25">
      <c r="B55" s="312"/>
      <c r="E55" s="312"/>
      <c r="R55" s="3"/>
    </row>
    <row r="56" spans="2:19" x14ac:dyDescent="0.25">
      <c r="B56" s="312"/>
      <c r="E56" s="312"/>
    </row>
    <row r="57" spans="2:19" x14ac:dyDescent="0.25">
      <c r="B57" s="312"/>
      <c r="E57" s="312"/>
    </row>
    <row r="66" spans="18:18" x14ac:dyDescent="0.25">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3.2" x14ac:dyDescent="0.25"/>
  <cols>
    <col min="1" max="1" width="17.33203125" customWidth="1"/>
    <col min="2" max="2" width="12" bestFit="1" customWidth="1"/>
    <col min="8" max="8" width="12.33203125" customWidth="1"/>
    <col min="9" max="9" width="12.44140625" bestFit="1" customWidth="1"/>
    <col min="10" max="10" width="15.44140625" customWidth="1"/>
  </cols>
  <sheetData>
    <row r="2" spans="1:11" x14ac:dyDescent="0.25">
      <c r="A2" t="s">
        <v>68</v>
      </c>
      <c r="B2" t="s">
        <v>66</v>
      </c>
      <c r="C2" t="s">
        <v>14</v>
      </c>
      <c r="D2" t="s">
        <v>28</v>
      </c>
      <c r="E2" t="s">
        <v>75</v>
      </c>
    </row>
    <row r="3" spans="1:11" x14ac:dyDescent="0.25">
      <c r="A3" t="s">
        <v>71</v>
      </c>
      <c r="B3">
        <f>Css</f>
        <v>1.0000000000000001E-7</v>
      </c>
      <c r="C3">
        <f>Cout</f>
        <v>10</v>
      </c>
      <c r="D3">
        <f>Cin</f>
        <v>10</v>
      </c>
      <c r="E3">
        <f>Cb</f>
        <v>0</v>
      </c>
      <c r="H3" t="s">
        <v>73</v>
      </c>
      <c r="I3" t="s">
        <v>74</v>
      </c>
      <c r="J3" s="3" t="s">
        <v>70</v>
      </c>
    </row>
    <row r="4" spans="1:11" ht="13.8" x14ac:dyDescent="0.3">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ht="13.8" x14ac:dyDescent="0.3">
      <c r="A5" t="s">
        <v>69</v>
      </c>
      <c r="J5" s="3"/>
      <c r="K5" s="12"/>
    </row>
    <row r="6" spans="1:11" ht="13.8" x14ac:dyDescent="0.3">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ht="13.8" x14ac:dyDescent="0.3">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ht="13.8" x14ac:dyDescent="0.3">
      <c r="A8">
        <v>0.68</v>
      </c>
      <c r="B8">
        <f t="shared" si="3"/>
        <v>0</v>
      </c>
      <c r="C8">
        <f t="shared" si="4"/>
        <v>0</v>
      </c>
      <c r="D8">
        <f t="shared" si="5"/>
        <v>0</v>
      </c>
      <c r="E8">
        <f t="shared" si="6"/>
        <v>0</v>
      </c>
      <c r="J8" s="3"/>
      <c r="K8" s="12"/>
    </row>
    <row r="9" spans="1:11" ht="13.8" x14ac:dyDescent="0.3">
      <c r="A9">
        <v>0.82</v>
      </c>
      <c r="B9">
        <f t="shared" si="3"/>
        <v>0</v>
      </c>
      <c r="C9">
        <f t="shared" si="4"/>
        <v>0</v>
      </c>
      <c r="D9">
        <f t="shared" si="5"/>
        <v>0</v>
      </c>
      <c r="E9">
        <f t="shared" si="6"/>
        <v>0</v>
      </c>
      <c r="H9" t="s">
        <v>383</v>
      </c>
      <c r="I9">
        <f>RTC_1</f>
        <v>150000</v>
      </c>
      <c r="J9" s="3">
        <f t="shared" si="1"/>
        <v>150000</v>
      </c>
      <c r="K9" s="12" t="s">
        <v>136</v>
      </c>
    </row>
    <row r="10" spans="1:11" ht="13.8" x14ac:dyDescent="0.3">
      <c r="A10">
        <v>1</v>
      </c>
      <c r="B10">
        <f t="shared" si="3"/>
        <v>0</v>
      </c>
      <c r="C10">
        <f t="shared" si="4"/>
        <v>0</v>
      </c>
      <c r="D10">
        <f t="shared" si="5"/>
        <v>0</v>
      </c>
      <c r="E10">
        <f t="shared" si="6"/>
        <v>0</v>
      </c>
      <c r="H10" t="s">
        <v>17</v>
      </c>
      <c r="I10">
        <f>Rfb</f>
        <v>75000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75000</v>
      </c>
      <c r="K10" s="12" t="s">
        <v>136</v>
      </c>
    </row>
    <row r="11" spans="1:11" x14ac:dyDescent="0.25">
      <c r="A11">
        <v>1.2</v>
      </c>
      <c r="B11">
        <f t="shared" si="3"/>
        <v>0</v>
      </c>
      <c r="C11">
        <f t="shared" si="4"/>
        <v>0</v>
      </c>
      <c r="D11">
        <f t="shared" si="5"/>
        <v>0</v>
      </c>
      <c r="E11">
        <f t="shared" si="6"/>
        <v>0</v>
      </c>
      <c r="J11" s="3"/>
    </row>
    <row r="12" spans="1:11" x14ac:dyDescent="0.25">
      <c r="A12">
        <v>1.5</v>
      </c>
      <c r="B12">
        <f t="shared" si="3"/>
        <v>0</v>
      </c>
      <c r="C12">
        <f t="shared" si="4"/>
        <v>0</v>
      </c>
      <c r="D12">
        <f t="shared" si="5"/>
        <v>0</v>
      </c>
      <c r="E12">
        <f t="shared" si="6"/>
        <v>0</v>
      </c>
      <c r="J12" s="3"/>
    </row>
    <row r="13" spans="1:11" ht="13.8" x14ac:dyDescent="0.3">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5">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5">
      <c r="A15">
        <v>2.7</v>
      </c>
      <c r="B15">
        <f t="shared" si="3"/>
        <v>0</v>
      </c>
      <c r="C15">
        <f t="shared" si="4"/>
        <v>0</v>
      </c>
      <c r="D15">
        <f t="shared" si="5"/>
        <v>0</v>
      </c>
      <c r="E15">
        <f t="shared" si="6"/>
        <v>0</v>
      </c>
    </row>
    <row r="16" spans="1:11" ht="13.8" x14ac:dyDescent="0.3">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ht="13.8" x14ac:dyDescent="0.3">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ht="13.8" x14ac:dyDescent="0.3">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5">
      <c r="A19">
        <v>5.6</v>
      </c>
      <c r="B19">
        <f t="shared" si="3"/>
        <v>0</v>
      </c>
      <c r="C19">
        <f t="shared" si="4"/>
        <v>0</v>
      </c>
      <c r="D19">
        <f t="shared" si="5"/>
        <v>0</v>
      </c>
      <c r="E19">
        <f t="shared" si="6"/>
        <v>0</v>
      </c>
    </row>
    <row r="20" spans="1:11" x14ac:dyDescent="0.25">
      <c r="A20">
        <v>6.8</v>
      </c>
      <c r="B20">
        <f t="shared" si="3"/>
        <v>0</v>
      </c>
      <c r="C20">
        <f t="shared" si="4"/>
        <v>0</v>
      </c>
      <c r="D20">
        <f t="shared" si="5"/>
        <v>0</v>
      </c>
      <c r="E20">
        <f t="shared" si="6"/>
        <v>0</v>
      </c>
      <c r="H20" s="59"/>
      <c r="J20" s="3"/>
    </row>
    <row r="21" spans="1:11" x14ac:dyDescent="0.25">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ht="13.8" x14ac:dyDescent="0.3">
      <c r="A22">
        <v>10</v>
      </c>
      <c r="B22">
        <f t="shared" si="3"/>
        <v>0</v>
      </c>
      <c r="C22">
        <f t="shared" si="4"/>
        <v>0</v>
      </c>
      <c r="D22">
        <f t="shared" si="5"/>
        <v>0</v>
      </c>
      <c r="E22">
        <f t="shared" si="6"/>
        <v>0</v>
      </c>
      <c r="H22" s="59"/>
      <c r="J22" s="3"/>
      <c r="K22" s="12"/>
    </row>
    <row r="23" spans="1:11" ht="13.8" x14ac:dyDescent="0.3">
      <c r="A23">
        <v>12</v>
      </c>
      <c r="B23">
        <f t="shared" si="3"/>
        <v>0</v>
      </c>
      <c r="C23">
        <f t="shared" si="4"/>
        <v>0</v>
      </c>
      <c r="D23">
        <f t="shared" si="5"/>
        <v>0</v>
      </c>
      <c r="E23">
        <f t="shared" si="6"/>
        <v>0</v>
      </c>
      <c r="H23" t="s">
        <v>838</v>
      </c>
      <c r="I23">
        <f>'Calculations - Single'!H329</f>
        <v>-1708.3526667969131</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5">
      <c r="A24">
        <v>15</v>
      </c>
      <c r="B24">
        <f t="shared" si="3"/>
        <v>0</v>
      </c>
      <c r="C24">
        <f t="shared" si="4"/>
        <v>0</v>
      </c>
      <c r="D24">
        <f t="shared" si="5"/>
        <v>0</v>
      </c>
      <c r="E24">
        <f t="shared" si="6"/>
        <v>0</v>
      </c>
      <c r="H24" t="s">
        <v>849</v>
      </c>
      <c r="I24">
        <f>'Calculations - Dual'!H329</f>
        <v>-1708.3526667969131</v>
      </c>
      <c r="J24" s="3" t="e">
        <f t="shared" si="8"/>
        <v>#NUM!</v>
      </c>
    </row>
    <row r="25" spans="1:11" ht="13.8" x14ac:dyDescent="0.3">
      <c r="A25">
        <v>18</v>
      </c>
      <c r="B25">
        <f t="shared" si="3"/>
        <v>0</v>
      </c>
      <c r="C25">
        <f t="shared" si="4"/>
        <v>0</v>
      </c>
      <c r="D25">
        <f t="shared" si="5"/>
        <v>0</v>
      </c>
      <c r="E25">
        <f t="shared" si="6"/>
        <v>0</v>
      </c>
      <c r="H25" s="59" t="s">
        <v>848</v>
      </c>
      <c r="I25">
        <f>'Calculations - Dual'!O329</f>
        <v>-3752.9083364768012</v>
      </c>
      <c r="J25" s="3" t="e">
        <f t="shared" si="8"/>
        <v>#NUM!</v>
      </c>
      <c r="K25" s="12"/>
    </row>
    <row r="26" spans="1:11" x14ac:dyDescent="0.25">
      <c r="A26">
        <v>22</v>
      </c>
      <c r="B26">
        <f t="shared" si="3"/>
        <v>0</v>
      </c>
      <c r="C26">
        <f t="shared" si="4"/>
        <v>0</v>
      </c>
      <c r="D26">
        <f t="shared" si="5"/>
        <v>0</v>
      </c>
      <c r="E26">
        <f t="shared" si="6"/>
        <v>0</v>
      </c>
    </row>
    <row r="27" spans="1:11" x14ac:dyDescent="0.25">
      <c r="A27">
        <v>27</v>
      </c>
      <c r="B27">
        <f t="shared" si="3"/>
        <v>0</v>
      </c>
      <c r="C27">
        <f t="shared" si="4"/>
        <v>0</v>
      </c>
      <c r="D27">
        <f t="shared" si="5"/>
        <v>0</v>
      </c>
      <c r="E27">
        <f t="shared" si="6"/>
        <v>0</v>
      </c>
      <c r="H27" t="s">
        <v>859</v>
      </c>
      <c r="I27">
        <f>'Calculations - Single'!G327</f>
        <v>4.7943262411347517E-3</v>
      </c>
    </row>
    <row r="28" spans="1:11" ht="13.8" x14ac:dyDescent="0.3">
      <c r="A28">
        <v>33</v>
      </c>
      <c r="B28">
        <f t="shared" si="3"/>
        <v>0</v>
      </c>
      <c r="C28">
        <f t="shared" si="4"/>
        <v>0</v>
      </c>
      <c r="D28">
        <f t="shared" si="5"/>
        <v>0</v>
      </c>
      <c r="E28">
        <f t="shared" si="6"/>
        <v>0</v>
      </c>
      <c r="H28" s="59" t="s">
        <v>860</v>
      </c>
      <c r="I28">
        <f>'Calculations - Dual'!G327</f>
        <v>4.7943262411347517E-3</v>
      </c>
      <c r="K28" s="12"/>
    </row>
    <row r="29" spans="1:11" x14ac:dyDescent="0.25">
      <c r="A29">
        <v>39</v>
      </c>
      <c r="B29">
        <f t="shared" si="3"/>
        <v>0</v>
      </c>
      <c r="C29">
        <f t="shared" si="4"/>
        <v>0</v>
      </c>
      <c r="D29">
        <f t="shared" si="5"/>
        <v>0</v>
      </c>
      <c r="E29">
        <f t="shared" si="6"/>
        <v>0</v>
      </c>
      <c r="H29" s="59" t="s">
        <v>861</v>
      </c>
      <c r="I29">
        <f>'Calculations - Dual'!N327</f>
        <v>4.7943262411347517E-3</v>
      </c>
      <c r="K29" s="59"/>
    </row>
    <row r="30" spans="1:11" x14ac:dyDescent="0.25">
      <c r="A30">
        <v>47</v>
      </c>
      <c r="B30">
        <f t="shared" si="3"/>
        <v>0</v>
      </c>
      <c r="C30">
        <f t="shared" si="4"/>
        <v>0</v>
      </c>
      <c r="D30">
        <f t="shared" si="5"/>
        <v>0</v>
      </c>
      <c r="E30">
        <f t="shared" si="6"/>
        <v>0</v>
      </c>
      <c r="H30" s="4"/>
      <c r="K30" s="59"/>
    </row>
    <row r="31" spans="1:11" ht="13.8" x14ac:dyDescent="0.3">
      <c r="A31">
        <v>56</v>
      </c>
      <c r="B31">
        <f t="shared" si="3"/>
        <v>0</v>
      </c>
      <c r="C31">
        <f t="shared" si="4"/>
        <v>0</v>
      </c>
      <c r="D31">
        <f t="shared" si="5"/>
        <v>0</v>
      </c>
      <c r="E31">
        <f t="shared" si="6"/>
        <v>0</v>
      </c>
      <c r="H31" s="4">
        <f>Npri_sec2</f>
        <v>0.93872549019607843</v>
      </c>
      <c r="K31" s="12"/>
    </row>
    <row r="32" spans="1:11" x14ac:dyDescent="0.25">
      <c r="A32">
        <v>68</v>
      </c>
      <c r="B32">
        <f t="shared" si="3"/>
        <v>0</v>
      </c>
      <c r="C32">
        <f t="shared" si="4"/>
        <v>0</v>
      </c>
      <c r="D32">
        <f t="shared" si="5"/>
        <v>0</v>
      </c>
      <c r="E32">
        <f t="shared" si="6"/>
        <v>0</v>
      </c>
      <c r="H32" s="4"/>
      <c r="K32" s="59"/>
    </row>
    <row r="33" spans="1:8" x14ac:dyDescent="0.25">
      <c r="A33">
        <v>82</v>
      </c>
      <c r="B33">
        <f t="shared" si="3"/>
        <v>0</v>
      </c>
      <c r="C33">
        <f t="shared" si="4"/>
        <v>0</v>
      </c>
      <c r="D33">
        <f t="shared" si="5"/>
        <v>0</v>
      </c>
      <c r="E33">
        <f t="shared" si="6"/>
        <v>0</v>
      </c>
    </row>
    <row r="34" spans="1:8" x14ac:dyDescent="0.25">
      <c r="A34">
        <f>A22*10</f>
        <v>100</v>
      </c>
      <c r="B34">
        <f t="shared" si="3"/>
        <v>0</v>
      </c>
      <c r="C34">
        <f t="shared" si="4"/>
        <v>0</v>
      </c>
      <c r="D34">
        <f t="shared" si="5"/>
        <v>0</v>
      </c>
      <c r="E34">
        <f t="shared" si="6"/>
        <v>0</v>
      </c>
      <c r="H34" s="59"/>
    </row>
    <row r="35" spans="1:8" x14ac:dyDescent="0.25">
      <c r="A35">
        <f t="shared" ref="A35:A98" si="9">A23*10</f>
        <v>120</v>
      </c>
      <c r="B35">
        <f t="shared" si="3"/>
        <v>0</v>
      </c>
      <c r="C35">
        <f t="shared" si="4"/>
        <v>0</v>
      </c>
      <c r="D35">
        <f t="shared" si="5"/>
        <v>0</v>
      </c>
      <c r="E35">
        <f t="shared" si="6"/>
        <v>0</v>
      </c>
      <c r="H35" s="59"/>
    </row>
    <row r="36" spans="1:8" x14ac:dyDescent="0.25">
      <c r="A36">
        <f t="shared" si="9"/>
        <v>150</v>
      </c>
      <c r="B36">
        <f t="shared" si="3"/>
        <v>0</v>
      </c>
      <c r="C36">
        <f t="shared" si="4"/>
        <v>0</v>
      </c>
      <c r="D36">
        <f t="shared" si="5"/>
        <v>0</v>
      </c>
      <c r="E36">
        <f t="shared" si="6"/>
        <v>0</v>
      </c>
    </row>
    <row r="37" spans="1:8" x14ac:dyDescent="0.25">
      <c r="A37">
        <f t="shared" si="9"/>
        <v>180</v>
      </c>
      <c r="B37">
        <f t="shared" si="3"/>
        <v>0</v>
      </c>
      <c r="C37">
        <f t="shared" si="4"/>
        <v>0</v>
      </c>
      <c r="D37">
        <f t="shared" si="5"/>
        <v>0</v>
      </c>
      <c r="E37">
        <f t="shared" si="6"/>
        <v>0</v>
      </c>
    </row>
    <row r="38" spans="1:8" x14ac:dyDescent="0.25">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5">
      <c r="A39">
        <f t="shared" si="9"/>
        <v>270</v>
      </c>
      <c r="B39">
        <f t="shared" si="3"/>
        <v>0</v>
      </c>
      <c r="C39">
        <f t="shared" si="4"/>
        <v>0</v>
      </c>
      <c r="D39">
        <f t="shared" si="5"/>
        <v>0</v>
      </c>
      <c r="E39">
        <f t="shared" si="10"/>
        <v>0</v>
      </c>
    </row>
    <row r="40" spans="1:8" x14ac:dyDescent="0.25">
      <c r="A40">
        <f t="shared" si="9"/>
        <v>330</v>
      </c>
      <c r="B40">
        <f t="shared" si="3"/>
        <v>0</v>
      </c>
      <c r="C40">
        <f t="shared" si="4"/>
        <v>0</v>
      </c>
      <c r="D40">
        <f t="shared" si="5"/>
        <v>0</v>
      </c>
      <c r="E40">
        <f t="shared" si="10"/>
        <v>0</v>
      </c>
    </row>
    <row r="41" spans="1:8" x14ac:dyDescent="0.25">
      <c r="A41">
        <f t="shared" si="9"/>
        <v>390</v>
      </c>
      <c r="B41">
        <f t="shared" si="3"/>
        <v>0</v>
      </c>
      <c r="C41">
        <f t="shared" si="4"/>
        <v>0</v>
      </c>
      <c r="D41">
        <f t="shared" si="5"/>
        <v>0</v>
      </c>
      <c r="E41">
        <f t="shared" si="10"/>
        <v>0</v>
      </c>
    </row>
    <row r="42" spans="1:8" x14ac:dyDescent="0.25">
      <c r="A42">
        <f t="shared" si="9"/>
        <v>470</v>
      </c>
      <c r="B42">
        <f t="shared" si="3"/>
        <v>0</v>
      </c>
      <c r="C42">
        <f t="shared" si="4"/>
        <v>0</v>
      </c>
      <c r="D42">
        <f t="shared" si="5"/>
        <v>0</v>
      </c>
      <c r="E42">
        <f t="shared" si="10"/>
        <v>0</v>
      </c>
    </row>
    <row r="43" spans="1:8" x14ac:dyDescent="0.25">
      <c r="A43">
        <f t="shared" si="9"/>
        <v>560</v>
      </c>
      <c r="B43">
        <f t="shared" si="3"/>
        <v>0</v>
      </c>
      <c r="C43">
        <f t="shared" si="4"/>
        <v>0</v>
      </c>
      <c r="D43">
        <f t="shared" si="5"/>
        <v>0</v>
      </c>
      <c r="E43">
        <f t="shared" si="10"/>
        <v>0</v>
      </c>
    </row>
    <row r="44" spans="1:8" x14ac:dyDescent="0.25">
      <c r="A44">
        <f t="shared" si="9"/>
        <v>680</v>
      </c>
      <c r="B44">
        <f t="shared" si="3"/>
        <v>0</v>
      </c>
      <c r="C44">
        <f t="shared" si="4"/>
        <v>0</v>
      </c>
      <c r="D44">
        <f t="shared" si="5"/>
        <v>0</v>
      </c>
      <c r="E44">
        <f t="shared" si="10"/>
        <v>0</v>
      </c>
    </row>
    <row r="45" spans="1:8" x14ac:dyDescent="0.25">
      <c r="A45">
        <f>A33*10</f>
        <v>820</v>
      </c>
      <c r="B45">
        <f t="shared" si="3"/>
        <v>0</v>
      </c>
      <c r="C45">
        <f t="shared" si="4"/>
        <v>0</v>
      </c>
      <c r="D45">
        <f t="shared" si="5"/>
        <v>0</v>
      </c>
      <c r="E45">
        <f t="shared" si="10"/>
        <v>0</v>
      </c>
    </row>
    <row r="46" spans="1:8" x14ac:dyDescent="0.25">
      <c r="A46">
        <f t="shared" si="9"/>
        <v>1000</v>
      </c>
      <c r="B46">
        <f t="shared" si="3"/>
        <v>0</v>
      </c>
      <c r="C46">
        <f t="shared" si="4"/>
        <v>0</v>
      </c>
      <c r="D46">
        <f t="shared" si="5"/>
        <v>0</v>
      </c>
      <c r="E46">
        <f t="shared" si="10"/>
        <v>0</v>
      </c>
    </row>
    <row r="47" spans="1:8" x14ac:dyDescent="0.25">
      <c r="A47">
        <f t="shared" si="9"/>
        <v>1200</v>
      </c>
      <c r="B47">
        <f t="shared" si="3"/>
        <v>0</v>
      </c>
      <c r="C47">
        <f t="shared" si="4"/>
        <v>0</v>
      </c>
      <c r="D47">
        <f t="shared" si="5"/>
        <v>0</v>
      </c>
      <c r="E47">
        <f t="shared" si="10"/>
        <v>0</v>
      </c>
    </row>
    <row r="48" spans="1:8" x14ac:dyDescent="0.25">
      <c r="A48">
        <f t="shared" si="9"/>
        <v>1500</v>
      </c>
      <c r="B48">
        <f t="shared" si="3"/>
        <v>0</v>
      </c>
      <c r="C48">
        <f t="shared" si="4"/>
        <v>0</v>
      </c>
      <c r="D48">
        <f t="shared" si="5"/>
        <v>0</v>
      </c>
      <c r="E48">
        <f t="shared" si="10"/>
        <v>0</v>
      </c>
    </row>
    <row r="49" spans="1:5" x14ac:dyDescent="0.25">
      <c r="A49">
        <f t="shared" si="9"/>
        <v>1800</v>
      </c>
      <c r="B49">
        <f t="shared" si="3"/>
        <v>0</v>
      </c>
      <c r="C49">
        <f t="shared" si="4"/>
        <v>0</v>
      </c>
      <c r="D49">
        <f t="shared" si="5"/>
        <v>0</v>
      </c>
      <c r="E49">
        <f t="shared" si="10"/>
        <v>0</v>
      </c>
    </row>
    <row r="50" spans="1:5" x14ac:dyDescent="0.25">
      <c r="A50">
        <f t="shared" si="9"/>
        <v>2200</v>
      </c>
      <c r="B50">
        <f t="shared" si="3"/>
        <v>0</v>
      </c>
      <c r="C50">
        <f t="shared" si="4"/>
        <v>0</v>
      </c>
      <c r="D50">
        <f t="shared" si="5"/>
        <v>0</v>
      </c>
      <c r="E50">
        <f t="shared" si="10"/>
        <v>0</v>
      </c>
    </row>
    <row r="51" spans="1:5" x14ac:dyDescent="0.25">
      <c r="A51">
        <f t="shared" si="9"/>
        <v>2700</v>
      </c>
      <c r="B51">
        <f t="shared" si="3"/>
        <v>0</v>
      </c>
      <c r="C51">
        <f t="shared" si="4"/>
        <v>0</v>
      </c>
      <c r="D51">
        <f t="shared" si="5"/>
        <v>0</v>
      </c>
      <c r="E51">
        <f t="shared" si="10"/>
        <v>0</v>
      </c>
    </row>
    <row r="52" spans="1:5" x14ac:dyDescent="0.25">
      <c r="A52">
        <f t="shared" si="9"/>
        <v>3300</v>
      </c>
      <c r="B52">
        <f t="shared" si="3"/>
        <v>0</v>
      </c>
      <c r="C52">
        <f t="shared" si="4"/>
        <v>0</v>
      </c>
      <c r="D52">
        <f t="shared" si="5"/>
        <v>0</v>
      </c>
      <c r="E52">
        <f t="shared" si="10"/>
        <v>0</v>
      </c>
    </row>
    <row r="53" spans="1:5" x14ac:dyDescent="0.25">
      <c r="A53">
        <f t="shared" si="9"/>
        <v>3900</v>
      </c>
      <c r="B53">
        <f t="shared" si="3"/>
        <v>0</v>
      </c>
      <c r="C53">
        <f t="shared" si="4"/>
        <v>0</v>
      </c>
      <c r="D53">
        <f t="shared" si="5"/>
        <v>0</v>
      </c>
      <c r="E53">
        <f t="shared" si="10"/>
        <v>0</v>
      </c>
    </row>
    <row r="54" spans="1:5" x14ac:dyDescent="0.25">
      <c r="A54">
        <f t="shared" si="9"/>
        <v>4700</v>
      </c>
      <c r="B54">
        <f t="shared" si="3"/>
        <v>0</v>
      </c>
      <c r="C54">
        <f t="shared" si="4"/>
        <v>0</v>
      </c>
      <c r="D54">
        <f t="shared" si="5"/>
        <v>0</v>
      </c>
      <c r="E54">
        <f t="shared" si="10"/>
        <v>0</v>
      </c>
    </row>
    <row r="55" spans="1:5" x14ac:dyDescent="0.25">
      <c r="A55">
        <f t="shared" si="9"/>
        <v>5600</v>
      </c>
      <c r="B55">
        <f t="shared" si="3"/>
        <v>0</v>
      </c>
      <c r="C55">
        <f t="shared" si="4"/>
        <v>0</v>
      </c>
      <c r="D55">
        <f t="shared" si="5"/>
        <v>0</v>
      </c>
      <c r="E55">
        <f t="shared" si="10"/>
        <v>0</v>
      </c>
    </row>
    <row r="56" spans="1:5" x14ac:dyDescent="0.25">
      <c r="A56">
        <f t="shared" si="9"/>
        <v>6800</v>
      </c>
      <c r="B56">
        <f t="shared" si="3"/>
        <v>0</v>
      </c>
      <c r="C56">
        <f t="shared" si="4"/>
        <v>0</v>
      </c>
      <c r="D56">
        <f t="shared" si="5"/>
        <v>0</v>
      </c>
      <c r="E56">
        <f t="shared" si="10"/>
        <v>0</v>
      </c>
    </row>
    <row r="57" spans="1:5" x14ac:dyDescent="0.25">
      <c r="A57">
        <f t="shared" si="9"/>
        <v>8200</v>
      </c>
      <c r="B57">
        <f t="shared" si="3"/>
        <v>0</v>
      </c>
      <c r="C57">
        <f t="shared" si="4"/>
        <v>0</v>
      </c>
      <c r="D57">
        <f t="shared" si="5"/>
        <v>0</v>
      </c>
      <c r="E57">
        <f t="shared" si="10"/>
        <v>0</v>
      </c>
    </row>
    <row r="58" spans="1:5" x14ac:dyDescent="0.25">
      <c r="A58">
        <f t="shared" si="9"/>
        <v>10000</v>
      </c>
      <c r="B58">
        <f t="shared" si="3"/>
        <v>0</v>
      </c>
      <c r="C58">
        <f t="shared" si="4"/>
        <v>0</v>
      </c>
      <c r="D58">
        <f t="shared" si="5"/>
        <v>0</v>
      </c>
      <c r="E58">
        <f t="shared" si="10"/>
        <v>0</v>
      </c>
    </row>
    <row r="59" spans="1:5" x14ac:dyDescent="0.25">
      <c r="A59">
        <f t="shared" si="9"/>
        <v>12000</v>
      </c>
      <c r="B59">
        <f t="shared" si="3"/>
        <v>0</v>
      </c>
      <c r="C59">
        <f t="shared" si="4"/>
        <v>0</v>
      </c>
      <c r="D59">
        <f t="shared" si="5"/>
        <v>0</v>
      </c>
      <c r="E59">
        <f t="shared" si="10"/>
        <v>0</v>
      </c>
    </row>
    <row r="60" spans="1:5" x14ac:dyDescent="0.25">
      <c r="A60">
        <f t="shared" si="9"/>
        <v>15000</v>
      </c>
      <c r="B60">
        <f t="shared" si="3"/>
        <v>0</v>
      </c>
      <c r="C60">
        <f t="shared" si="4"/>
        <v>0</v>
      </c>
      <c r="D60">
        <f t="shared" si="5"/>
        <v>0</v>
      </c>
      <c r="E60">
        <f t="shared" si="10"/>
        <v>0</v>
      </c>
    </row>
    <row r="61" spans="1:5" x14ac:dyDescent="0.25">
      <c r="A61">
        <f t="shared" si="9"/>
        <v>18000</v>
      </c>
      <c r="B61">
        <f t="shared" si="3"/>
        <v>0</v>
      </c>
      <c r="C61">
        <f t="shared" si="4"/>
        <v>0</v>
      </c>
      <c r="D61">
        <f t="shared" si="5"/>
        <v>0</v>
      </c>
      <c r="E61">
        <f t="shared" si="10"/>
        <v>0</v>
      </c>
    </row>
    <row r="62" spans="1:5" x14ac:dyDescent="0.25">
      <c r="A62">
        <f t="shared" si="9"/>
        <v>22000</v>
      </c>
      <c r="B62">
        <f t="shared" si="3"/>
        <v>0</v>
      </c>
      <c r="C62">
        <f t="shared" si="4"/>
        <v>0</v>
      </c>
      <c r="D62">
        <f t="shared" si="5"/>
        <v>0</v>
      </c>
      <c r="E62">
        <f t="shared" si="10"/>
        <v>0</v>
      </c>
    </row>
    <row r="63" spans="1:5" x14ac:dyDescent="0.25">
      <c r="A63">
        <f t="shared" si="9"/>
        <v>27000</v>
      </c>
      <c r="B63">
        <f t="shared" si="3"/>
        <v>0</v>
      </c>
      <c r="C63">
        <f t="shared" si="4"/>
        <v>0</v>
      </c>
      <c r="D63">
        <f t="shared" si="5"/>
        <v>0</v>
      </c>
      <c r="E63">
        <f t="shared" si="10"/>
        <v>0</v>
      </c>
    </row>
    <row r="64" spans="1:5" x14ac:dyDescent="0.25">
      <c r="A64">
        <f t="shared" si="9"/>
        <v>33000</v>
      </c>
      <c r="B64">
        <f t="shared" si="3"/>
        <v>0</v>
      </c>
      <c r="C64">
        <f t="shared" si="4"/>
        <v>0</v>
      </c>
      <c r="D64">
        <f t="shared" si="5"/>
        <v>0</v>
      </c>
      <c r="E64">
        <f t="shared" si="10"/>
        <v>0</v>
      </c>
    </row>
    <row r="65" spans="1:5" x14ac:dyDescent="0.25">
      <c r="A65">
        <f t="shared" si="9"/>
        <v>39000</v>
      </c>
      <c r="B65">
        <f t="shared" si="3"/>
        <v>0</v>
      </c>
      <c r="C65">
        <f t="shared" si="4"/>
        <v>0</v>
      </c>
      <c r="D65">
        <f t="shared" si="5"/>
        <v>0</v>
      </c>
      <c r="E65">
        <f t="shared" si="10"/>
        <v>0</v>
      </c>
    </row>
    <row r="66" spans="1:5" x14ac:dyDescent="0.25">
      <c r="A66">
        <f t="shared" si="9"/>
        <v>47000</v>
      </c>
      <c r="B66">
        <f t="shared" si="3"/>
        <v>0</v>
      </c>
      <c r="C66">
        <f t="shared" si="4"/>
        <v>0</v>
      </c>
      <c r="D66">
        <f t="shared" si="5"/>
        <v>0</v>
      </c>
      <c r="E66">
        <f t="shared" si="10"/>
        <v>0</v>
      </c>
    </row>
    <row r="67" spans="1:5" x14ac:dyDescent="0.25">
      <c r="A67">
        <f t="shared" si="9"/>
        <v>56000</v>
      </c>
      <c r="B67">
        <f t="shared" si="3"/>
        <v>0</v>
      </c>
      <c r="C67">
        <f t="shared" si="4"/>
        <v>0</v>
      </c>
      <c r="D67">
        <f t="shared" si="5"/>
        <v>0</v>
      </c>
      <c r="E67">
        <f t="shared" si="10"/>
        <v>0</v>
      </c>
    </row>
    <row r="68" spans="1:5" x14ac:dyDescent="0.25">
      <c r="A68">
        <f t="shared" si="9"/>
        <v>68000</v>
      </c>
      <c r="B68">
        <f t="shared" si="3"/>
        <v>0</v>
      </c>
      <c r="C68">
        <f t="shared" si="4"/>
        <v>0</v>
      </c>
      <c r="D68">
        <f t="shared" si="5"/>
        <v>0</v>
      </c>
      <c r="E68">
        <f t="shared" si="10"/>
        <v>0</v>
      </c>
    </row>
    <row r="69" spans="1:5" x14ac:dyDescent="0.25">
      <c r="A69">
        <f t="shared" si="9"/>
        <v>82000</v>
      </c>
      <c r="B69">
        <f t="shared" si="3"/>
        <v>0</v>
      </c>
      <c r="C69">
        <f t="shared" si="4"/>
        <v>0</v>
      </c>
      <c r="D69">
        <f t="shared" si="5"/>
        <v>0</v>
      </c>
      <c r="E69">
        <f t="shared" si="10"/>
        <v>0</v>
      </c>
    </row>
    <row r="70" spans="1:5" x14ac:dyDescent="0.25">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5">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5">
      <c r="A72">
        <f t="shared" si="9"/>
        <v>150000</v>
      </c>
      <c r="B72">
        <f t="shared" si="13"/>
        <v>0</v>
      </c>
      <c r="C72">
        <f t="shared" si="14"/>
        <v>0</v>
      </c>
      <c r="D72">
        <f t="shared" si="15"/>
        <v>0</v>
      </c>
      <c r="E72">
        <f t="shared" si="12"/>
        <v>0</v>
      </c>
    </row>
    <row r="73" spans="1:5" x14ac:dyDescent="0.25">
      <c r="A73">
        <f t="shared" si="9"/>
        <v>180000</v>
      </c>
      <c r="B73">
        <f t="shared" si="13"/>
        <v>0</v>
      </c>
      <c r="C73">
        <f t="shared" si="14"/>
        <v>0</v>
      </c>
      <c r="D73">
        <f t="shared" si="15"/>
        <v>0</v>
      </c>
      <c r="E73">
        <f t="shared" si="12"/>
        <v>0</v>
      </c>
    </row>
    <row r="74" spans="1:5" x14ac:dyDescent="0.25">
      <c r="A74">
        <f t="shared" si="9"/>
        <v>220000</v>
      </c>
      <c r="B74">
        <f t="shared" si="13"/>
        <v>0</v>
      </c>
      <c r="C74">
        <f t="shared" si="14"/>
        <v>0</v>
      </c>
      <c r="D74">
        <f t="shared" si="15"/>
        <v>0</v>
      </c>
      <c r="E74">
        <f t="shared" si="12"/>
        <v>0</v>
      </c>
    </row>
    <row r="75" spans="1:5" x14ac:dyDescent="0.25">
      <c r="A75">
        <f t="shared" si="9"/>
        <v>270000</v>
      </c>
      <c r="B75">
        <f t="shared" si="13"/>
        <v>0</v>
      </c>
      <c r="C75">
        <f t="shared" si="14"/>
        <v>0</v>
      </c>
      <c r="D75">
        <f t="shared" si="15"/>
        <v>0</v>
      </c>
      <c r="E75">
        <f t="shared" si="12"/>
        <v>0</v>
      </c>
    </row>
    <row r="76" spans="1:5" x14ac:dyDescent="0.25">
      <c r="A76">
        <f t="shared" si="9"/>
        <v>330000</v>
      </c>
      <c r="B76">
        <f t="shared" si="13"/>
        <v>0</v>
      </c>
      <c r="C76">
        <f t="shared" si="14"/>
        <v>0</v>
      </c>
      <c r="D76">
        <f t="shared" si="15"/>
        <v>0</v>
      </c>
      <c r="E76">
        <f t="shared" si="12"/>
        <v>0</v>
      </c>
    </row>
    <row r="77" spans="1:5" x14ac:dyDescent="0.25">
      <c r="A77">
        <f t="shared" si="9"/>
        <v>390000</v>
      </c>
      <c r="B77">
        <f t="shared" si="13"/>
        <v>0</v>
      </c>
      <c r="C77">
        <f t="shared" si="14"/>
        <v>0</v>
      </c>
      <c r="D77">
        <f t="shared" si="15"/>
        <v>0</v>
      </c>
      <c r="E77">
        <f t="shared" si="12"/>
        <v>0</v>
      </c>
    </row>
    <row r="78" spans="1:5" x14ac:dyDescent="0.25">
      <c r="A78">
        <f t="shared" si="9"/>
        <v>470000</v>
      </c>
      <c r="B78">
        <f t="shared" si="13"/>
        <v>0</v>
      </c>
      <c r="C78">
        <f t="shared" si="14"/>
        <v>0</v>
      </c>
      <c r="D78">
        <f t="shared" si="15"/>
        <v>0</v>
      </c>
      <c r="E78">
        <f t="shared" si="12"/>
        <v>0</v>
      </c>
    </row>
    <row r="79" spans="1:5" x14ac:dyDescent="0.25">
      <c r="A79">
        <f t="shared" si="9"/>
        <v>560000</v>
      </c>
      <c r="B79">
        <f t="shared" si="13"/>
        <v>0</v>
      </c>
      <c r="C79">
        <f t="shared" si="14"/>
        <v>0</v>
      </c>
      <c r="D79">
        <f t="shared" si="15"/>
        <v>0</v>
      </c>
      <c r="E79">
        <f t="shared" si="12"/>
        <v>0</v>
      </c>
    </row>
    <row r="80" spans="1:5" x14ac:dyDescent="0.25">
      <c r="A80">
        <f t="shared" si="9"/>
        <v>680000</v>
      </c>
      <c r="B80">
        <f t="shared" si="13"/>
        <v>0</v>
      </c>
      <c r="C80">
        <f t="shared" si="14"/>
        <v>0</v>
      </c>
      <c r="D80">
        <f t="shared" si="15"/>
        <v>0</v>
      </c>
      <c r="E80">
        <f t="shared" si="12"/>
        <v>0</v>
      </c>
    </row>
    <row r="81" spans="1:5" x14ac:dyDescent="0.25">
      <c r="A81">
        <f t="shared" si="9"/>
        <v>820000</v>
      </c>
      <c r="B81">
        <f t="shared" si="13"/>
        <v>0</v>
      </c>
      <c r="C81">
        <f t="shared" si="14"/>
        <v>0</v>
      </c>
      <c r="D81">
        <f t="shared" si="15"/>
        <v>0</v>
      </c>
      <c r="E81">
        <f t="shared" si="12"/>
        <v>0</v>
      </c>
    </row>
    <row r="82" spans="1:5" x14ac:dyDescent="0.25">
      <c r="A82">
        <f t="shared" si="9"/>
        <v>1000000</v>
      </c>
      <c r="B82">
        <f t="shared" si="13"/>
        <v>0</v>
      </c>
      <c r="C82">
        <f t="shared" si="14"/>
        <v>0</v>
      </c>
      <c r="D82">
        <f t="shared" si="15"/>
        <v>0</v>
      </c>
      <c r="E82">
        <f t="shared" si="12"/>
        <v>0</v>
      </c>
    </row>
    <row r="83" spans="1:5" x14ac:dyDescent="0.25">
      <c r="A83">
        <f t="shared" si="9"/>
        <v>1200000</v>
      </c>
      <c r="B83">
        <f t="shared" si="13"/>
        <v>0</v>
      </c>
      <c r="C83">
        <f t="shared" si="14"/>
        <v>0</v>
      </c>
      <c r="D83">
        <f t="shared" si="15"/>
        <v>0</v>
      </c>
      <c r="E83">
        <f t="shared" si="12"/>
        <v>0</v>
      </c>
    </row>
    <row r="84" spans="1:5" x14ac:dyDescent="0.25">
      <c r="A84">
        <f t="shared" si="9"/>
        <v>1500000</v>
      </c>
      <c r="B84">
        <f t="shared" si="13"/>
        <v>0</v>
      </c>
      <c r="C84">
        <f t="shared" si="14"/>
        <v>0</v>
      </c>
      <c r="D84">
        <f t="shared" si="15"/>
        <v>0</v>
      </c>
      <c r="E84">
        <f t="shared" si="12"/>
        <v>0</v>
      </c>
    </row>
    <row r="85" spans="1:5" x14ac:dyDescent="0.25">
      <c r="A85">
        <f t="shared" si="9"/>
        <v>1800000</v>
      </c>
      <c r="B85">
        <f t="shared" si="13"/>
        <v>0</v>
      </c>
      <c r="C85">
        <f t="shared" si="14"/>
        <v>0</v>
      </c>
      <c r="D85">
        <f t="shared" si="15"/>
        <v>0</v>
      </c>
      <c r="E85">
        <f t="shared" si="12"/>
        <v>0</v>
      </c>
    </row>
    <row r="86" spans="1:5" x14ac:dyDescent="0.25">
      <c r="A86">
        <f t="shared" si="9"/>
        <v>2200000</v>
      </c>
      <c r="B86">
        <f t="shared" si="13"/>
        <v>0</v>
      </c>
      <c r="C86">
        <f t="shared" si="14"/>
        <v>0</v>
      </c>
      <c r="D86">
        <f t="shared" si="15"/>
        <v>0</v>
      </c>
      <c r="E86">
        <f t="shared" si="12"/>
        <v>0</v>
      </c>
    </row>
    <row r="87" spans="1:5" x14ac:dyDescent="0.25">
      <c r="A87">
        <f t="shared" si="9"/>
        <v>2700000</v>
      </c>
      <c r="B87">
        <f t="shared" si="13"/>
        <v>0</v>
      </c>
      <c r="C87">
        <f t="shared" si="14"/>
        <v>0</v>
      </c>
      <c r="D87">
        <f t="shared" si="15"/>
        <v>0</v>
      </c>
      <c r="E87">
        <f t="shared" si="12"/>
        <v>0</v>
      </c>
    </row>
    <row r="88" spans="1:5" x14ac:dyDescent="0.25">
      <c r="A88">
        <f t="shared" si="9"/>
        <v>3300000</v>
      </c>
      <c r="B88">
        <f t="shared" si="13"/>
        <v>0</v>
      </c>
      <c r="C88">
        <f t="shared" si="14"/>
        <v>0</v>
      </c>
      <c r="D88">
        <f t="shared" si="15"/>
        <v>0</v>
      </c>
      <c r="E88">
        <f t="shared" si="12"/>
        <v>0</v>
      </c>
    </row>
    <row r="89" spans="1:5" x14ac:dyDescent="0.25">
      <c r="A89">
        <f t="shared" si="9"/>
        <v>3900000</v>
      </c>
      <c r="B89">
        <f t="shared" si="13"/>
        <v>0</v>
      </c>
      <c r="C89">
        <f t="shared" si="14"/>
        <v>0</v>
      </c>
      <c r="D89">
        <f t="shared" si="15"/>
        <v>0</v>
      </c>
      <c r="E89">
        <f t="shared" si="12"/>
        <v>0</v>
      </c>
    </row>
    <row r="90" spans="1:5" x14ac:dyDescent="0.25">
      <c r="A90">
        <f t="shared" si="9"/>
        <v>4700000</v>
      </c>
      <c r="B90">
        <f t="shared" si="13"/>
        <v>0</v>
      </c>
      <c r="C90">
        <f t="shared" si="14"/>
        <v>0</v>
      </c>
      <c r="D90">
        <f t="shared" si="15"/>
        <v>0</v>
      </c>
      <c r="E90">
        <f t="shared" si="12"/>
        <v>0</v>
      </c>
    </row>
    <row r="91" spans="1:5" x14ac:dyDescent="0.25">
      <c r="A91">
        <f t="shared" si="9"/>
        <v>5600000</v>
      </c>
      <c r="B91">
        <f t="shared" si="13"/>
        <v>0</v>
      </c>
      <c r="C91">
        <f t="shared" si="14"/>
        <v>0</v>
      </c>
      <c r="D91">
        <f t="shared" si="15"/>
        <v>0</v>
      </c>
      <c r="E91">
        <f t="shared" si="12"/>
        <v>0</v>
      </c>
    </row>
    <row r="92" spans="1:5" x14ac:dyDescent="0.25">
      <c r="A92">
        <f t="shared" si="9"/>
        <v>6800000</v>
      </c>
      <c r="B92">
        <f t="shared" si="13"/>
        <v>0</v>
      </c>
      <c r="C92">
        <f t="shared" si="14"/>
        <v>0</v>
      </c>
      <c r="D92">
        <f t="shared" si="15"/>
        <v>0</v>
      </c>
      <c r="E92">
        <f t="shared" si="12"/>
        <v>0</v>
      </c>
    </row>
    <row r="93" spans="1:5" x14ac:dyDescent="0.25">
      <c r="A93">
        <f t="shared" si="9"/>
        <v>8200000</v>
      </c>
      <c r="B93">
        <f t="shared" si="13"/>
        <v>0</v>
      </c>
      <c r="C93">
        <f t="shared" si="14"/>
        <v>0</v>
      </c>
      <c r="D93">
        <f t="shared" si="15"/>
        <v>0</v>
      </c>
      <c r="E93">
        <f t="shared" si="12"/>
        <v>0</v>
      </c>
    </row>
    <row r="94" spans="1:5" x14ac:dyDescent="0.25">
      <c r="A94">
        <f t="shared" si="9"/>
        <v>10000000</v>
      </c>
      <c r="B94">
        <f t="shared" si="13"/>
        <v>0</v>
      </c>
      <c r="C94">
        <f t="shared" si="14"/>
        <v>0</v>
      </c>
      <c r="D94">
        <f t="shared" si="15"/>
        <v>0</v>
      </c>
      <c r="E94">
        <f t="shared" si="12"/>
        <v>0</v>
      </c>
    </row>
    <row r="95" spans="1:5" x14ac:dyDescent="0.25">
      <c r="A95">
        <f t="shared" si="9"/>
        <v>12000000</v>
      </c>
      <c r="B95">
        <f t="shared" si="13"/>
        <v>0</v>
      </c>
      <c r="C95">
        <f t="shared" si="14"/>
        <v>0</v>
      </c>
      <c r="D95">
        <f t="shared" si="15"/>
        <v>0</v>
      </c>
      <c r="E95">
        <f t="shared" si="12"/>
        <v>0</v>
      </c>
    </row>
    <row r="96" spans="1:5" x14ac:dyDescent="0.25">
      <c r="A96">
        <f t="shared" si="9"/>
        <v>15000000</v>
      </c>
      <c r="B96">
        <f t="shared" si="13"/>
        <v>0</v>
      </c>
      <c r="C96">
        <f t="shared" si="14"/>
        <v>0</v>
      </c>
      <c r="D96">
        <f t="shared" si="15"/>
        <v>0</v>
      </c>
      <c r="E96">
        <f t="shared" si="12"/>
        <v>0</v>
      </c>
    </row>
    <row r="97" spans="1:5" x14ac:dyDescent="0.25">
      <c r="A97">
        <f t="shared" si="9"/>
        <v>18000000</v>
      </c>
      <c r="B97">
        <f t="shared" si="13"/>
        <v>0</v>
      </c>
      <c r="C97">
        <f t="shared" si="14"/>
        <v>0</v>
      </c>
      <c r="D97">
        <f t="shared" si="15"/>
        <v>0</v>
      </c>
      <c r="E97">
        <f t="shared" si="12"/>
        <v>0</v>
      </c>
    </row>
    <row r="98" spans="1:5" x14ac:dyDescent="0.25">
      <c r="A98">
        <f t="shared" si="9"/>
        <v>22000000</v>
      </c>
      <c r="B98">
        <f t="shared" si="13"/>
        <v>0</v>
      </c>
      <c r="C98">
        <f t="shared" si="14"/>
        <v>0</v>
      </c>
      <c r="D98">
        <f t="shared" si="15"/>
        <v>0</v>
      </c>
      <c r="E98">
        <f t="shared" si="12"/>
        <v>0</v>
      </c>
    </row>
    <row r="99" spans="1:5" x14ac:dyDescent="0.25">
      <c r="A99">
        <f t="shared" ref="A99:A159" si="16">A87*10</f>
        <v>27000000</v>
      </c>
      <c r="B99">
        <f t="shared" si="13"/>
        <v>0</v>
      </c>
      <c r="C99">
        <f t="shared" si="14"/>
        <v>0</v>
      </c>
      <c r="D99">
        <f t="shared" si="15"/>
        <v>0</v>
      </c>
      <c r="E99">
        <f t="shared" si="12"/>
        <v>0</v>
      </c>
    </row>
    <row r="100" spans="1:5" x14ac:dyDescent="0.25">
      <c r="A100">
        <f t="shared" si="16"/>
        <v>33000000</v>
      </c>
      <c r="B100">
        <f t="shared" si="13"/>
        <v>0</v>
      </c>
      <c r="C100">
        <f t="shared" si="14"/>
        <v>0</v>
      </c>
      <c r="D100">
        <f t="shared" si="15"/>
        <v>0</v>
      </c>
      <c r="E100">
        <f t="shared" si="12"/>
        <v>0</v>
      </c>
    </row>
    <row r="101" spans="1:5" x14ac:dyDescent="0.25">
      <c r="A101">
        <f t="shared" si="16"/>
        <v>39000000</v>
      </c>
      <c r="B101">
        <f t="shared" si="13"/>
        <v>0</v>
      </c>
      <c r="C101">
        <f t="shared" si="14"/>
        <v>0</v>
      </c>
      <c r="D101">
        <f t="shared" si="15"/>
        <v>0</v>
      </c>
      <c r="E101">
        <f t="shared" si="12"/>
        <v>0</v>
      </c>
    </row>
    <row r="102" spans="1:5" x14ac:dyDescent="0.25">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5">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5">
      <c r="A104">
        <f t="shared" si="16"/>
        <v>68000000</v>
      </c>
      <c r="B104">
        <f t="shared" si="13"/>
        <v>0</v>
      </c>
      <c r="C104">
        <f t="shared" si="14"/>
        <v>0</v>
      </c>
      <c r="D104">
        <f t="shared" si="18"/>
        <v>0</v>
      </c>
      <c r="E104">
        <f t="shared" si="17"/>
        <v>0</v>
      </c>
    </row>
    <row r="105" spans="1:5" x14ac:dyDescent="0.25">
      <c r="A105">
        <f t="shared" si="16"/>
        <v>82000000</v>
      </c>
      <c r="B105">
        <f t="shared" si="13"/>
        <v>0</v>
      </c>
      <c r="C105">
        <f t="shared" si="14"/>
        <v>0</v>
      </c>
      <c r="D105">
        <f t="shared" si="18"/>
        <v>0</v>
      </c>
      <c r="E105">
        <f t="shared" si="17"/>
        <v>0</v>
      </c>
    </row>
    <row r="106" spans="1:5" x14ac:dyDescent="0.25">
      <c r="A106">
        <f t="shared" si="16"/>
        <v>100000000</v>
      </c>
      <c r="B106">
        <f t="shared" si="13"/>
        <v>0</v>
      </c>
      <c r="C106">
        <f t="shared" si="14"/>
        <v>0</v>
      </c>
      <c r="D106">
        <f t="shared" si="18"/>
        <v>0</v>
      </c>
      <c r="E106">
        <f t="shared" si="17"/>
        <v>0</v>
      </c>
    </row>
    <row r="107" spans="1:5" x14ac:dyDescent="0.25">
      <c r="A107">
        <f t="shared" si="16"/>
        <v>120000000</v>
      </c>
      <c r="B107">
        <f t="shared" si="13"/>
        <v>0</v>
      </c>
      <c r="C107">
        <f t="shared" si="14"/>
        <v>0</v>
      </c>
      <c r="D107">
        <f t="shared" si="18"/>
        <v>0</v>
      </c>
      <c r="E107">
        <f t="shared" si="17"/>
        <v>0</v>
      </c>
    </row>
    <row r="108" spans="1:5" x14ac:dyDescent="0.25">
      <c r="A108">
        <f t="shared" si="16"/>
        <v>150000000</v>
      </c>
      <c r="B108">
        <f t="shared" si="13"/>
        <v>0</v>
      </c>
      <c r="C108">
        <f t="shared" si="14"/>
        <v>0</v>
      </c>
      <c r="D108">
        <f t="shared" si="18"/>
        <v>0</v>
      </c>
      <c r="E108">
        <f t="shared" si="17"/>
        <v>0</v>
      </c>
    </row>
    <row r="109" spans="1:5" x14ac:dyDescent="0.25">
      <c r="A109">
        <f t="shared" si="16"/>
        <v>180000000</v>
      </c>
      <c r="B109">
        <f t="shared" si="13"/>
        <v>0</v>
      </c>
      <c r="C109">
        <f t="shared" si="14"/>
        <v>0</v>
      </c>
      <c r="D109">
        <f t="shared" si="18"/>
        <v>0</v>
      </c>
      <c r="E109">
        <f t="shared" si="17"/>
        <v>0</v>
      </c>
    </row>
    <row r="110" spans="1:5" x14ac:dyDescent="0.25">
      <c r="A110">
        <f t="shared" si="16"/>
        <v>220000000</v>
      </c>
      <c r="B110">
        <f t="shared" si="13"/>
        <v>0</v>
      </c>
      <c r="C110">
        <f t="shared" si="14"/>
        <v>0</v>
      </c>
      <c r="D110">
        <f t="shared" si="18"/>
        <v>0</v>
      </c>
      <c r="E110">
        <f t="shared" si="17"/>
        <v>0</v>
      </c>
    </row>
    <row r="111" spans="1:5" x14ac:dyDescent="0.25">
      <c r="A111">
        <f t="shared" si="16"/>
        <v>270000000</v>
      </c>
      <c r="B111">
        <f t="shared" si="13"/>
        <v>0</v>
      </c>
      <c r="C111">
        <f t="shared" si="14"/>
        <v>0</v>
      </c>
      <c r="D111">
        <f t="shared" si="18"/>
        <v>0</v>
      </c>
      <c r="E111">
        <f t="shared" si="17"/>
        <v>0</v>
      </c>
    </row>
    <row r="112" spans="1:5" x14ac:dyDescent="0.25">
      <c r="A112">
        <f t="shared" si="16"/>
        <v>330000000</v>
      </c>
      <c r="B112">
        <f t="shared" si="13"/>
        <v>0</v>
      </c>
      <c r="C112">
        <f t="shared" si="14"/>
        <v>0</v>
      </c>
      <c r="D112">
        <f t="shared" si="18"/>
        <v>0</v>
      </c>
      <c r="E112">
        <f t="shared" si="17"/>
        <v>0</v>
      </c>
    </row>
    <row r="113" spans="1:5" x14ac:dyDescent="0.25">
      <c r="A113">
        <f t="shared" si="16"/>
        <v>390000000</v>
      </c>
      <c r="B113">
        <f t="shared" si="13"/>
        <v>0</v>
      </c>
      <c r="C113">
        <f t="shared" si="14"/>
        <v>0</v>
      </c>
      <c r="D113">
        <f t="shared" si="18"/>
        <v>0</v>
      </c>
      <c r="E113">
        <f t="shared" si="17"/>
        <v>0</v>
      </c>
    </row>
    <row r="114" spans="1:5" x14ac:dyDescent="0.25">
      <c r="A114">
        <f t="shared" si="16"/>
        <v>470000000</v>
      </c>
      <c r="B114">
        <f t="shared" si="13"/>
        <v>0</v>
      </c>
      <c r="C114">
        <f t="shared" si="14"/>
        <v>0</v>
      </c>
      <c r="D114">
        <f t="shared" si="18"/>
        <v>0</v>
      </c>
      <c r="E114">
        <f t="shared" si="17"/>
        <v>0</v>
      </c>
    </row>
    <row r="115" spans="1:5" x14ac:dyDescent="0.25">
      <c r="A115">
        <f t="shared" si="16"/>
        <v>560000000</v>
      </c>
      <c r="B115">
        <f t="shared" si="13"/>
        <v>0</v>
      </c>
      <c r="C115">
        <f t="shared" si="14"/>
        <v>0</v>
      </c>
      <c r="D115">
        <f t="shared" si="18"/>
        <v>0</v>
      </c>
      <c r="E115">
        <f t="shared" si="17"/>
        <v>0</v>
      </c>
    </row>
    <row r="116" spans="1:5" x14ac:dyDescent="0.25">
      <c r="A116">
        <f t="shared" si="16"/>
        <v>680000000</v>
      </c>
      <c r="B116">
        <f t="shared" si="13"/>
        <v>0</v>
      </c>
      <c r="C116">
        <f t="shared" si="14"/>
        <v>0</v>
      </c>
      <c r="D116">
        <f t="shared" si="18"/>
        <v>0</v>
      </c>
      <c r="E116">
        <f t="shared" si="17"/>
        <v>0</v>
      </c>
    </row>
    <row r="117" spans="1:5" x14ac:dyDescent="0.25">
      <c r="A117">
        <f t="shared" si="16"/>
        <v>820000000</v>
      </c>
      <c r="B117">
        <f t="shared" si="13"/>
        <v>0</v>
      </c>
      <c r="C117">
        <f t="shared" si="14"/>
        <v>0</v>
      </c>
      <c r="D117">
        <f t="shared" si="18"/>
        <v>0</v>
      </c>
      <c r="E117">
        <f t="shared" si="17"/>
        <v>0</v>
      </c>
    </row>
    <row r="118" spans="1:5" x14ac:dyDescent="0.25">
      <c r="A118">
        <f t="shared" si="16"/>
        <v>1000000000</v>
      </c>
      <c r="B118">
        <f t="shared" si="13"/>
        <v>0</v>
      </c>
      <c r="C118">
        <f t="shared" si="14"/>
        <v>0</v>
      </c>
      <c r="D118">
        <f t="shared" si="18"/>
        <v>0</v>
      </c>
      <c r="E118">
        <f t="shared" si="17"/>
        <v>0</v>
      </c>
    </row>
    <row r="119" spans="1:5" x14ac:dyDescent="0.25">
      <c r="A119">
        <f t="shared" si="16"/>
        <v>1200000000</v>
      </c>
      <c r="B119">
        <f t="shared" si="13"/>
        <v>0</v>
      </c>
      <c r="C119">
        <f t="shared" si="14"/>
        <v>0</v>
      </c>
      <c r="D119">
        <f t="shared" si="18"/>
        <v>0</v>
      </c>
      <c r="E119">
        <f t="shared" si="17"/>
        <v>0</v>
      </c>
    </row>
    <row r="120" spans="1:5" x14ac:dyDescent="0.25">
      <c r="A120">
        <f t="shared" si="16"/>
        <v>1500000000</v>
      </c>
      <c r="B120">
        <f t="shared" si="13"/>
        <v>0</v>
      </c>
      <c r="C120">
        <f t="shared" si="14"/>
        <v>0</v>
      </c>
      <c r="D120">
        <f t="shared" si="18"/>
        <v>0</v>
      </c>
      <c r="E120">
        <f t="shared" si="17"/>
        <v>0</v>
      </c>
    </row>
    <row r="121" spans="1:5" x14ac:dyDescent="0.25">
      <c r="A121">
        <f t="shared" si="16"/>
        <v>1800000000</v>
      </c>
      <c r="B121">
        <f t="shared" si="13"/>
        <v>0</v>
      </c>
      <c r="C121">
        <f t="shared" si="14"/>
        <v>0</v>
      </c>
      <c r="D121">
        <f t="shared" si="18"/>
        <v>0</v>
      </c>
      <c r="E121">
        <f t="shared" si="17"/>
        <v>0</v>
      </c>
    </row>
    <row r="122" spans="1:5" x14ac:dyDescent="0.25">
      <c r="A122">
        <f t="shared" si="16"/>
        <v>2200000000</v>
      </c>
      <c r="B122">
        <f t="shared" si="13"/>
        <v>0</v>
      </c>
      <c r="C122">
        <f t="shared" si="14"/>
        <v>0</v>
      </c>
      <c r="D122">
        <f t="shared" si="18"/>
        <v>0</v>
      </c>
      <c r="E122">
        <f t="shared" si="17"/>
        <v>0</v>
      </c>
    </row>
    <row r="123" spans="1:5" x14ac:dyDescent="0.25">
      <c r="A123">
        <f t="shared" si="16"/>
        <v>2700000000</v>
      </c>
      <c r="B123">
        <f t="shared" si="13"/>
        <v>0</v>
      </c>
      <c r="C123">
        <f t="shared" si="14"/>
        <v>0</v>
      </c>
      <c r="D123">
        <f t="shared" si="18"/>
        <v>0</v>
      </c>
      <c r="E123">
        <f t="shared" si="17"/>
        <v>0</v>
      </c>
    </row>
    <row r="124" spans="1:5" x14ac:dyDescent="0.25">
      <c r="A124">
        <f t="shared" si="16"/>
        <v>3300000000</v>
      </c>
      <c r="B124">
        <f t="shared" si="13"/>
        <v>0</v>
      </c>
      <c r="C124">
        <f t="shared" si="14"/>
        <v>0</v>
      </c>
      <c r="D124">
        <f t="shared" si="18"/>
        <v>0</v>
      </c>
      <c r="E124">
        <f t="shared" si="17"/>
        <v>0</v>
      </c>
    </row>
    <row r="125" spans="1:5" x14ac:dyDescent="0.25">
      <c r="A125">
        <f t="shared" si="16"/>
        <v>3900000000</v>
      </c>
      <c r="B125">
        <f t="shared" si="13"/>
        <v>0</v>
      </c>
      <c r="C125">
        <f t="shared" si="14"/>
        <v>0</v>
      </c>
      <c r="D125">
        <f t="shared" si="18"/>
        <v>0</v>
      </c>
      <c r="E125">
        <f t="shared" si="17"/>
        <v>0</v>
      </c>
    </row>
    <row r="126" spans="1:5" x14ac:dyDescent="0.25">
      <c r="A126">
        <f t="shared" si="16"/>
        <v>4700000000</v>
      </c>
      <c r="B126">
        <f t="shared" si="13"/>
        <v>0</v>
      </c>
      <c r="C126">
        <f t="shared" si="14"/>
        <v>0</v>
      </c>
      <c r="D126">
        <f t="shared" si="18"/>
        <v>0</v>
      </c>
      <c r="E126">
        <f t="shared" si="17"/>
        <v>0</v>
      </c>
    </row>
    <row r="127" spans="1:5" x14ac:dyDescent="0.25">
      <c r="A127">
        <f t="shared" si="16"/>
        <v>5600000000</v>
      </c>
      <c r="B127">
        <f t="shared" si="13"/>
        <v>0</v>
      </c>
      <c r="C127">
        <f t="shared" si="14"/>
        <v>0</v>
      </c>
      <c r="D127">
        <f t="shared" si="18"/>
        <v>0</v>
      </c>
      <c r="E127">
        <f t="shared" si="17"/>
        <v>0</v>
      </c>
    </row>
    <row r="128" spans="1:5" x14ac:dyDescent="0.25">
      <c r="A128">
        <f t="shared" si="16"/>
        <v>6800000000</v>
      </c>
      <c r="B128">
        <f t="shared" si="13"/>
        <v>0</v>
      </c>
      <c r="C128">
        <f t="shared" si="14"/>
        <v>0</v>
      </c>
      <c r="D128">
        <f t="shared" si="18"/>
        <v>0</v>
      </c>
      <c r="E128">
        <f t="shared" si="17"/>
        <v>0</v>
      </c>
    </row>
    <row r="129" spans="1:5" x14ac:dyDescent="0.25">
      <c r="A129">
        <f t="shared" si="16"/>
        <v>8200000000</v>
      </c>
      <c r="B129">
        <f t="shared" si="13"/>
        <v>0</v>
      </c>
      <c r="C129">
        <f t="shared" si="14"/>
        <v>0</v>
      </c>
      <c r="D129">
        <f t="shared" si="18"/>
        <v>0</v>
      </c>
      <c r="E129">
        <f t="shared" si="17"/>
        <v>0</v>
      </c>
    </row>
    <row r="130" spans="1:5" x14ac:dyDescent="0.25">
      <c r="A130">
        <f t="shared" si="16"/>
        <v>10000000000</v>
      </c>
      <c r="B130">
        <f t="shared" si="13"/>
        <v>0</v>
      </c>
      <c r="C130">
        <f t="shared" si="14"/>
        <v>0</v>
      </c>
      <c r="D130">
        <f t="shared" si="18"/>
        <v>0</v>
      </c>
      <c r="E130">
        <f t="shared" si="17"/>
        <v>0</v>
      </c>
    </row>
    <row r="131" spans="1:5" x14ac:dyDescent="0.25">
      <c r="A131">
        <f t="shared" si="16"/>
        <v>12000000000</v>
      </c>
      <c r="B131">
        <f t="shared" si="13"/>
        <v>0</v>
      </c>
      <c r="C131">
        <f t="shared" si="14"/>
        <v>0</v>
      </c>
      <c r="D131">
        <f t="shared" si="18"/>
        <v>0</v>
      </c>
      <c r="E131">
        <f t="shared" si="17"/>
        <v>0</v>
      </c>
    </row>
    <row r="132" spans="1:5" x14ac:dyDescent="0.25">
      <c r="A132">
        <f t="shared" si="16"/>
        <v>15000000000</v>
      </c>
      <c r="B132">
        <f t="shared" si="13"/>
        <v>0</v>
      </c>
      <c r="C132">
        <f t="shared" si="14"/>
        <v>0</v>
      </c>
      <c r="D132">
        <f t="shared" si="18"/>
        <v>0</v>
      </c>
      <c r="E132">
        <f t="shared" si="17"/>
        <v>0</v>
      </c>
    </row>
    <row r="133" spans="1:5" x14ac:dyDescent="0.25">
      <c r="A133">
        <f t="shared" si="16"/>
        <v>18000000000</v>
      </c>
      <c r="B133">
        <f t="shared" si="13"/>
        <v>0</v>
      </c>
      <c r="C133">
        <f t="shared" si="14"/>
        <v>0</v>
      </c>
      <c r="D133">
        <f t="shared" si="18"/>
        <v>0</v>
      </c>
      <c r="E133">
        <f t="shared" si="17"/>
        <v>0</v>
      </c>
    </row>
    <row r="134" spans="1:5" x14ac:dyDescent="0.25">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5">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5">
      <c r="A136">
        <f t="shared" si="16"/>
        <v>33000000000</v>
      </c>
      <c r="B136">
        <f t="shared" si="21"/>
        <v>0</v>
      </c>
      <c r="C136">
        <f t="shared" si="19"/>
        <v>0</v>
      </c>
      <c r="D136">
        <f t="shared" si="19"/>
        <v>0</v>
      </c>
      <c r="E136">
        <f t="shared" si="20"/>
        <v>0</v>
      </c>
    </row>
    <row r="137" spans="1:5" x14ac:dyDescent="0.25">
      <c r="A137">
        <f t="shared" si="16"/>
        <v>39000000000</v>
      </c>
      <c r="B137">
        <f t="shared" si="21"/>
        <v>0</v>
      </c>
      <c r="C137">
        <f t="shared" si="19"/>
        <v>0</v>
      </c>
      <c r="D137">
        <f t="shared" si="19"/>
        <v>0</v>
      </c>
      <c r="E137">
        <f t="shared" si="20"/>
        <v>0</v>
      </c>
    </row>
    <row r="138" spans="1:5" x14ac:dyDescent="0.25">
      <c r="A138">
        <f t="shared" si="16"/>
        <v>47000000000</v>
      </c>
      <c r="B138">
        <f t="shared" si="21"/>
        <v>0</v>
      </c>
      <c r="C138">
        <f t="shared" si="19"/>
        <v>0</v>
      </c>
      <c r="D138">
        <f t="shared" si="19"/>
        <v>0</v>
      </c>
      <c r="E138">
        <f t="shared" si="20"/>
        <v>0</v>
      </c>
    </row>
    <row r="139" spans="1:5" x14ac:dyDescent="0.25">
      <c r="A139">
        <f t="shared" si="16"/>
        <v>56000000000</v>
      </c>
      <c r="B139">
        <f t="shared" si="21"/>
        <v>0</v>
      </c>
      <c r="C139">
        <f t="shared" si="19"/>
        <v>0</v>
      </c>
      <c r="D139">
        <f t="shared" si="19"/>
        <v>0</v>
      </c>
      <c r="E139">
        <f t="shared" si="20"/>
        <v>0</v>
      </c>
    </row>
    <row r="140" spans="1:5" x14ac:dyDescent="0.25">
      <c r="A140">
        <f t="shared" si="16"/>
        <v>68000000000</v>
      </c>
      <c r="B140">
        <f t="shared" si="21"/>
        <v>0</v>
      </c>
      <c r="C140">
        <f t="shared" si="19"/>
        <v>0</v>
      </c>
      <c r="D140">
        <f t="shared" si="19"/>
        <v>0</v>
      </c>
      <c r="E140">
        <f t="shared" si="20"/>
        <v>0</v>
      </c>
    </row>
    <row r="141" spans="1:5" x14ac:dyDescent="0.25">
      <c r="A141">
        <f t="shared" si="16"/>
        <v>82000000000</v>
      </c>
      <c r="B141">
        <f t="shared" si="21"/>
        <v>0</v>
      </c>
      <c r="C141">
        <f t="shared" si="19"/>
        <v>0</v>
      </c>
      <c r="D141">
        <f t="shared" si="19"/>
        <v>0</v>
      </c>
      <c r="E141">
        <f t="shared" si="20"/>
        <v>0</v>
      </c>
    </row>
    <row r="142" spans="1:5" x14ac:dyDescent="0.25">
      <c r="A142">
        <f t="shared" si="16"/>
        <v>100000000000</v>
      </c>
      <c r="B142">
        <f t="shared" si="21"/>
        <v>0</v>
      </c>
      <c r="C142">
        <f t="shared" si="19"/>
        <v>0</v>
      </c>
      <c r="D142">
        <f t="shared" si="19"/>
        <v>0</v>
      </c>
      <c r="E142">
        <f t="shared" si="20"/>
        <v>0</v>
      </c>
    </row>
    <row r="143" spans="1:5" x14ac:dyDescent="0.25">
      <c r="A143">
        <f t="shared" si="16"/>
        <v>120000000000</v>
      </c>
      <c r="B143">
        <f t="shared" si="21"/>
        <v>0</v>
      </c>
      <c r="C143">
        <f t="shared" si="19"/>
        <v>0</v>
      </c>
      <c r="D143">
        <f t="shared" si="19"/>
        <v>0</v>
      </c>
      <c r="E143">
        <f t="shared" si="20"/>
        <v>0</v>
      </c>
    </row>
    <row r="144" spans="1:5" x14ac:dyDescent="0.25">
      <c r="A144">
        <f t="shared" si="16"/>
        <v>150000000000</v>
      </c>
      <c r="B144">
        <f t="shared" si="21"/>
        <v>0</v>
      </c>
      <c r="C144">
        <f t="shared" si="19"/>
        <v>0</v>
      </c>
      <c r="D144">
        <f t="shared" si="19"/>
        <v>0</v>
      </c>
      <c r="E144">
        <f t="shared" si="20"/>
        <v>0</v>
      </c>
    </row>
    <row r="145" spans="1:5" x14ac:dyDescent="0.25">
      <c r="A145">
        <f t="shared" si="16"/>
        <v>180000000000</v>
      </c>
      <c r="B145">
        <f t="shared" si="21"/>
        <v>0</v>
      </c>
      <c r="C145">
        <f t="shared" si="19"/>
        <v>0</v>
      </c>
      <c r="D145">
        <f t="shared" si="19"/>
        <v>0</v>
      </c>
      <c r="E145">
        <f t="shared" si="20"/>
        <v>0</v>
      </c>
    </row>
    <row r="146" spans="1:5" x14ac:dyDescent="0.25">
      <c r="A146">
        <f t="shared" si="16"/>
        <v>220000000000</v>
      </c>
      <c r="B146">
        <f t="shared" si="21"/>
        <v>0</v>
      </c>
      <c r="C146">
        <f t="shared" si="19"/>
        <v>0</v>
      </c>
      <c r="D146">
        <f t="shared" si="19"/>
        <v>0</v>
      </c>
      <c r="E146">
        <f t="shared" si="20"/>
        <v>0</v>
      </c>
    </row>
    <row r="147" spans="1:5" x14ac:dyDescent="0.25">
      <c r="A147">
        <f t="shared" si="16"/>
        <v>270000000000</v>
      </c>
      <c r="B147">
        <f t="shared" si="21"/>
        <v>0</v>
      </c>
      <c r="C147">
        <f t="shared" si="19"/>
        <v>0</v>
      </c>
      <c r="D147">
        <f t="shared" si="19"/>
        <v>0</v>
      </c>
      <c r="E147">
        <f t="shared" si="20"/>
        <v>0</v>
      </c>
    </row>
    <row r="148" spans="1:5" x14ac:dyDescent="0.25">
      <c r="A148">
        <f t="shared" si="16"/>
        <v>330000000000</v>
      </c>
      <c r="B148">
        <f t="shared" si="21"/>
        <v>0</v>
      </c>
      <c r="C148">
        <f t="shared" si="19"/>
        <v>0</v>
      </c>
      <c r="D148">
        <f t="shared" si="19"/>
        <v>0</v>
      </c>
      <c r="E148">
        <f t="shared" si="20"/>
        <v>0</v>
      </c>
    </row>
    <row r="149" spans="1:5" x14ac:dyDescent="0.25">
      <c r="A149">
        <f t="shared" si="16"/>
        <v>390000000000</v>
      </c>
      <c r="B149">
        <f t="shared" si="21"/>
        <v>0</v>
      </c>
      <c r="C149">
        <f t="shared" si="19"/>
        <v>0</v>
      </c>
      <c r="D149">
        <f t="shared" si="19"/>
        <v>0</v>
      </c>
      <c r="E149">
        <f t="shared" si="20"/>
        <v>0</v>
      </c>
    </row>
    <row r="150" spans="1:5" x14ac:dyDescent="0.25">
      <c r="A150">
        <f t="shared" si="16"/>
        <v>470000000000</v>
      </c>
      <c r="B150">
        <f t="shared" si="21"/>
        <v>0</v>
      </c>
      <c r="C150">
        <f t="shared" si="19"/>
        <v>0</v>
      </c>
      <c r="D150">
        <f t="shared" si="19"/>
        <v>0</v>
      </c>
      <c r="E150">
        <f t="shared" si="20"/>
        <v>0</v>
      </c>
    </row>
    <row r="151" spans="1:5" x14ac:dyDescent="0.25">
      <c r="A151">
        <f t="shared" si="16"/>
        <v>560000000000</v>
      </c>
      <c r="B151">
        <f t="shared" si="21"/>
        <v>0</v>
      </c>
      <c r="C151">
        <f t="shared" si="19"/>
        <v>0</v>
      </c>
      <c r="D151">
        <f t="shared" si="19"/>
        <v>0</v>
      </c>
      <c r="E151">
        <f t="shared" si="20"/>
        <v>0</v>
      </c>
    </row>
    <row r="152" spans="1:5" x14ac:dyDescent="0.25">
      <c r="A152">
        <f t="shared" si="16"/>
        <v>680000000000</v>
      </c>
      <c r="B152">
        <f t="shared" si="21"/>
        <v>0</v>
      </c>
      <c r="C152">
        <f t="shared" si="19"/>
        <v>0</v>
      </c>
      <c r="D152">
        <f t="shared" si="19"/>
        <v>0</v>
      </c>
      <c r="E152">
        <f t="shared" si="20"/>
        <v>0</v>
      </c>
    </row>
    <row r="153" spans="1:5" x14ac:dyDescent="0.25">
      <c r="A153">
        <f t="shared" si="16"/>
        <v>820000000000</v>
      </c>
      <c r="B153">
        <f t="shared" si="21"/>
        <v>0</v>
      </c>
      <c r="C153">
        <f t="shared" si="19"/>
        <v>0</v>
      </c>
      <c r="D153">
        <f t="shared" si="19"/>
        <v>0</v>
      </c>
      <c r="E153">
        <f t="shared" si="20"/>
        <v>0</v>
      </c>
    </row>
    <row r="154" spans="1:5" x14ac:dyDescent="0.25">
      <c r="A154">
        <f t="shared" si="16"/>
        <v>1000000000000</v>
      </c>
      <c r="B154">
        <f t="shared" si="21"/>
        <v>0</v>
      </c>
      <c r="C154">
        <f t="shared" si="19"/>
        <v>0</v>
      </c>
      <c r="D154">
        <f t="shared" si="19"/>
        <v>0</v>
      </c>
      <c r="E154">
        <f t="shared" si="20"/>
        <v>0</v>
      </c>
    </row>
    <row r="155" spans="1:5" x14ac:dyDescent="0.25">
      <c r="A155">
        <f t="shared" si="16"/>
        <v>1200000000000</v>
      </c>
      <c r="B155">
        <f t="shared" si="21"/>
        <v>0</v>
      </c>
      <c r="C155">
        <f t="shared" si="19"/>
        <v>0</v>
      </c>
      <c r="D155">
        <f t="shared" si="19"/>
        <v>0</v>
      </c>
      <c r="E155">
        <f t="shared" si="20"/>
        <v>0</v>
      </c>
    </row>
    <row r="156" spans="1:5" x14ac:dyDescent="0.25">
      <c r="A156">
        <f t="shared" si="16"/>
        <v>1500000000000</v>
      </c>
      <c r="B156">
        <f t="shared" si="21"/>
        <v>0</v>
      </c>
      <c r="C156">
        <f t="shared" si="19"/>
        <v>0</v>
      </c>
      <c r="D156">
        <f t="shared" si="19"/>
        <v>0</v>
      </c>
      <c r="E156">
        <f t="shared" si="20"/>
        <v>0</v>
      </c>
    </row>
    <row r="157" spans="1:5" x14ac:dyDescent="0.25">
      <c r="A157">
        <f t="shared" si="16"/>
        <v>1800000000000</v>
      </c>
      <c r="B157">
        <f t="shared" si="21"/>
        <v>0</v>
      </c>
      <c r="C157">
        <f t="shared" si="19"/>
        <v>0</v>
      </c>
      <c r="D157">
        <f t="shared" si="19"/>
        <v>0</v>
      </c>
      <c r="E157">
        <f t="shared" si="20"/>
        <v>0</v>
      </c>
    </row>
    <row r="158" spans="1:5" x14ac:dyDescent="0.25">
      <c r="A158">
        <f t="shared" si="16"/>
        <v>2200000000000</v>
      </c>
      <c r="B158">
        <f t="shared" si="21"/>
        <v>0</v>
      </c>
      <c r="C158">
        <f t="shared" si="19"/>
        <v>0</v>
      </c>
      <c r="D158">
        <f t="shared" si="19"/>
        <v>0</v>
      </c>
      <c r="E158">
        <f t="shared" si="20"/>
        <v>0</v>
      </c>
    </row>
    <row r="159" spans="1:5" x14ac:dyDescent="0.25">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2024-10-27T05:48:41Z</dcterms:modified>
</cp:coreProperties>
</file>